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visible" name="Dashboard" sheetId="8" r:id="rId10"/>
    <sheet state="visible" name="Investment" sheetId="9" r:id="rId11"/>
    <sheet state="visible" name="Historic" sheetId="10" r:id="rId12"/>
    <sheet state="visible" name="Evolution" sheetId="11" r:id="rId13"/>
    <sheet state="visible" name="Allocation" sheetId="12" r:id="rId14"/>
    <sheet state="visible" name="AllocationHistoric" sheetId="13" r:id="rId15"/>
    <sheet state="visible" name="Expenses" sheetId="14" r:id="rId16"/>
    <sheet state="visible" name="ExpensesHistoric" sheetId="15" r:id="rId17"/>
    <sheet state="visible" name="BankAccount" sheetId="16" r:id="rId18"/>
    <sheet state="visible" name="Budget" sheetId="17" r:id="rId19"/>
    <sheet state="visible" name="Price" sheetId="18" r:id="rId20"/>
    <sheet state="visible" name="Client" sheetId="19" r:id="rId21"/>
    <sheet state="hidden" name="Boubou" sheetId="20" r:id="rId22"/>
    <sheet state="hidden" name="Paclone" sheetId="21" r:id="rId23"/>
    <sheet state="hidden" name="ClientModel" sheetId="22" r:id="rId24"/>
  </sheets>
  <definedNames>
    <definedName hidden="1" localSheetId="14" name="_xlnm._FilterDatabase">ExpensesHistoric!$A$1:$D$386</definedName>
    <definedName hidden="1" localSheetId="9" name="_xlnm._FilterDatabase">Historic!$A$1:$J$820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"Total portefeuille" DEGIRO</t>
      </text>
    </comment>
    <comment authorId="0" ref="B16">
      <text>
        <t xml:space="preserve">"Valeur des titres" DEGIRO</t>
      </text>
    </comment>
    <comment authorId="0" ref="C16">
      <text>
        <t xml:space="preserve">"Fond Monétaires EUR" DEGIRO</t>
      </text>
    </comment>
    <comment authorId="0" ref="D16">
      <text>
        <t xml:space="preserve">"Variation journalière" DEGIRO</t>
      </text>
    </comment>
    <comment authorId="0" ref="E16">
      <text>
        <t xml:space="preserve">"Variation cumulée" DEGIRO</t>
      </text>
    </comment>
    <comment authorId="0" ref="F16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8">
      <text>
        <t xml:space="preserve">Sum own by / due to others</t>
      </text>
    </comment>
    <comment authorId="0" ref="A34">
      <text>
        <t xml:space="preserve">"Valeur des titres" DEGIRO</t>
      </text>
    </comment>
    <comment authorId="0" ref="A35">
      <text>
        <t xml:space="preserve">"Fond Monétaires EUR" DEGIRO</t>
      </text>
    </comment>
    <comment authorId="0" ref="A36">
      <text>
        <t xml:space="preserve">"Total portefeuille" DEGIRO</t>
      </text>
    </comment>
    <comment authorId="0" ref="A37">
      <text>
        <t xml:space="preserve">"Variation cumulée" DEGIRO</t>
      </text>
    </comment>
    <comment authorId="0" ref="A47">
      <text>
        <t xml:space="preserve">Earn / Loss from past performances (without current portfolio)</t>
      </text>
    </comment>
    <comment authorId="0" ref="A50">
      <text>
        <t xml:space="preserve">"Espace libre" DEGIRO</t>
      </text>
    </comment>
    <comment authorId="0" ref="A55">
      <text>
        <t xml:space="preserve">EONIA+1.25%</t>
      </text>
    </comment>
    <comment authorId="0" ref="A57">
      <text>
        <t xml:space="preserve">Money left that can be invested</t>
      </text>
    </comment>
    <comment authorId="0" ref="B69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
OLD FORMULAE : =IF(AND($S2&lt;&gt;0,OR(AND($S2&gt;0,$L2&lt;$AI2),AND($S2&lt;0,$L2&gt;$AI2)),OR($S2*$U2&lt;0,($O$7-$N$7)*$AK2&lt;0)),IF(OR(AND(($O$7-$N$7)*$AK2&lt;0,$O$7-$N$7&gt;0,$S2&gt;0),$U2&lt;AVERAGEIFS(INDEX(Evolution!$N:$R,0,ROW()-1),INDEX(Evolution!$N:$R,0,ROW()-1),"&lt;0",INDEX(Evolution!$N:$R,0,ROW()-1),"&gt;-0.03")*2),"BUY",IF(OR(AND(($O$7-$N$7)*$AK2&lt;0,$O$7-$N$7&lt;0,$S2&lt;0),$U2&gt;AVERAGEIFS(INDEX(Evolution!$N:$R,0,ROW()-1),INDEX(Evolution!$N:$R,0,ROW()-1),"&gt;0",INDEX(Evolution!$N:$R,0,ROW()-1),"&lt;0.03")*2),"SELL","MID")),"MID") &amp; " (" &amp; ROUND($U2*100,2) &amp; "%)"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X1">
      <text>
        <t xml:space="preserve">Ratio used to correct dist gap when one or more stock have been bought (very low) and other are waiting to be bought (very high)</t>
      </text>
    </comment>
    <comment authorId="0" ref="AY1">
      <text>
        <t xml:space="preserve">Simplest : stock / number to buy</t>
      </text>
    </comment>
    <comment authorId="0" ref="AZ1">
      <text>
        <t xml:space="preserve">Opportunity : use tendency to predict opportunity</t>
      </text>
    </comment>
    <comment authorId="0" ref="BA1">
      <text>
        <t xml:space="preserve">Opportunity : use tendency to predict opportunity</t>
      </text>
    </comment>
    <comment authorId="0" ref="L7">
      <text>
        <t xml:space="preserve">Hack : main formula to get close price values when market closes from various websites
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35">
      <text>
        <t xml:space="preserve">Use to adjust "Current portfolio cash"</t>
      </text>
    </comment>
    <comment authorId="0" ref="G689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Cash / Allocation</t>
      </text>
    </comment>
    <comment authorId="0" ref="F1">
      <text>
        <t xml:space="preserve">Portfolio + Cash</t>
      </text>
    </comment>
    <comment authorId="0" ref="G1">
      <text>
        <t xml:space="preserve">Allocation / Portfolio</t>
      </text>
    </comment>
    <comment authorId="0" ref="H1">
      <text>
        <t xml:space="preserve">Monthly progress on total value</t>
      </text>
    </comment>
    <comment authorId="0" ref="I1">
      <text>
        <t xml:space="preserve">Interest based on an estimate until real value is taken from the account</t>
      </text>
    </comment>
    <comment authorId="0" ref="J1">
      <text>
        <t xml:space="preserve">Interest / Allocation</t>
      </text>
    </comment>
    <comment authorId="0" ref="K1">
      <text>
        <t xml:space="preserve">Money wasted by not using full allocation</t>
      </text>
    </comment>
    <comment authorId="0" ref="L1">
      <text>
        <t xml:space="preserve">Dividend received during the month</t>
      </text>
    </comment>
    <comment authorId="0" ref="M1">
      <text>
        <t xml:space="preserve">Average monthly income on a year basis.</t>
      </text>
    </comment>
    <comment authorId="0" ref="N1">
      <text>
        <t xml:space="preserve">Monthly progress on average monthly income</t>
      </text>
    </comment>
    <comment authorId="0" ref="O1">
      <text>
        <t xml:space="preserve">Income / Portfolio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=- Montly rent - Boursorama loan (B2)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Change here if money is added/removed from account</t>
      </text>
    </comment>
    <comment authorId="0" ref="C1">
      <text>
        <t xml:space="preserve">Current year interest</t>
      </text>
    </comment>
    <comment authorId="0" ref="D1">
      <text>
        <t xml:space="preserve">Total amount saved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on which to calculate interest</t>
      </text>
    </comment>
    <comment authorId="0" ref="C1">
      <text>
        <t xml:space="preserve">Cumulated amount without interest</t>
      </text>
    </comment>
    <comment authorId="0" ref="D1">
      <text>
        <t xml:space="preserve">Amount added/withdrawed by the client</t>
      </text>
    </comment>
    <comment authorId="0" ref="E1">
      <text>
        <t xml:space="preserve">Current rate</t>
      </text>
    </comment>
    <comment authorId="0" ref="F1">
      <text>
        <t xml:space="preserve">Current gain (= Current Value * Rate / 12)</t>
      </text>
    </comment>
    <comment authorId="0" ref="G1">
      <text>
        <t xml:space="preserve">Cumulated gain since the beginning of saving</t>
      </text>
    </comment>
    <comment authorId="0" ref="H1">
      <text>
        <t xml:space="preserve">Total cumulated amount (= Current Value + Gain)</t>
      </text>
    </comment>
  </commentList>
</comments>
</file>

<file path=xl/sharedStrings.xml><?xml version="1.0" encoding="utf-8"?>
<sst xmlns="http://schemas.openxmlformats.org/spreadsheetml/2006/main" count="3911" uniqueCount="1107">
  <si>
    <t>Savings</t>
  </si>
  <si>
    <t>Cumulated saving</t>
  </si>
  <si>
    <t>Date</t>
  </si>
  <si>
    <t>Savings available</t>
  </si>
  <si>
    <t>Owing</t>
  </si>
  <si>
    <t>Loan</t>
  </si>
  <si>
    <t>Client</t>
  </si>
  <si>
    <t>Expenses</t>
  </si>
  <si>
    <t>Current expense</t>
  </si>
  <si>
    <t>Cash balance</t>
  </si>
  <si>
    <t>Monthly expenses</t>
  </si>
  <si>
    <t>Currency</t>
  </si>
  <si>
    <t xml:space="preserve">Expense gap </t>
  </si>
  <si>
    <t>Monthly payment</t>
  </si>
  <si>
    <t>Monthly interest</t>
  </si>
  <si>
    <t>Account</t>
  </si>
  <si>
    <t>Allocated rate</t>
  </si>
  <si>
    <t>Non-allocated rate</t>
  </si>
  <si>
    <t>Day count</t>
  </si>
  <si>
    <t>Total Approvisionnement</t>
  </si>
  <si>
    <t>Day interest</t>
  </si>
  <si>
    <t>Previous profit</t>
  </si>
  <si>
    <t>Current Approvisionnement</t>
  </si>
  <si>
    <t>Monthly investment progress average</t>
  </si>
  <si>
    <t>Allocated</t>
  </si>
  <si>
    <t>Monthly income progress average</t>
  </si>
  <si>
    <t>Portfolio</t>
  </si>
  <si>
    <t>Current portfolio stock</t>
  </si>
  <si>
    <t>Current portfolio cash</t>
  </si>
  <si>
    <t>Current portfolio value</t>
  </si>
  <si>
    <t>Over allocation</t>
  </si>
  <si>
    <t>Current portfolio total profit</t>
  </si>
  <si>
    <t>Cumulative interest</t>
  </si>
  <si>
    <t>Current portfolio total profit rate</t>
  </si>
  <si>
    <t>Allocations</t>
  </si>
  <si>
    <t>Current Allocation</t>
  </si>
  <si>
    <t>Margin</t>
  </si>
  <si>
    <t>Next Allocation</t>
  </si>
  <si>
    <t>Current Allocation ratio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</si>
  <si>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</si>
  <si>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</si>
  <si>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</si>
  <si>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</si>
  <si>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</si>
  <si>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</si>
  <si>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</si>
  <si>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Total portfolio</t>
  </si>
  <si>
    <t>Stock value</t>
  </si>
  <si>
    <t>Cash Fund</t>
  </si>
  <si>
    <t>Today's result</t>
  </si>
  <si>
    <t>Cumulated result</t>
  </si>
  <si>
    <t>Heure</t>
  </si>
  <si>
    <t xml:space="preserve">Date de 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</si>
  <si>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</si>
  <si>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</si>
  <si>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</si>
  <si>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</si>
  <si>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</si>
  <si>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</si>
  <si>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</si>
  <si>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</si>
  <si>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</si>
  <si>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</si>
  <si>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</si>
  <si>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</si>
  <si>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</si>
  <si>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04-11-2019</t>
  </si>
  <si>
    <t>15:12</t>
  </si>
  <si>
    <t>VANGUARD S&amp;P500</t>
  </si>
  <si>
    <t>IE00B3XXRP09</t>
  </si>
  <si>
    <t>Vente 24 VANGUARD S&amp;P500@52,483 EUR (IE00B3XXRP09)</t>
  </si>
  <si>
    <t>EUR</t>
  </si>
  <si>
    <t>1259,59</t>
  </si>
  <si>
    <t>-345416,86</t>
  </si>
  <si>
    <t>115c57ea-8644-47f1-9bd0-c5d3c7c1dd6f</t>
  </si>
  <si>
    <t>12:15</t>
  </si>
  <si>
    <t>Vente 16 VANGUARD S&amp;P500@52,423 EUR (IE00B3XXRP09)</t>
  </si>
  <si>
    <t>838,77</t>
  </si>
  <si>
    <t>-346676,46</t>
  </si>
  <si>
    <t>40d8ae6d-ccb2-4470-8c41-8c229a0b4bae</t>
  </si>
  <si>
    <t>ID</t>
  </si>
  <si>
    <t>12:01</t>
  </si>
  <si>
    <t>31-10-2019</t>
  </si>
  <si>
    <t>Intérêts débiteurs mensuels (Débit Argent)</t>
  </si>
  <si>
    <t>-369,69</t>
  </si>
  <si>
    <t>-347515,22</t>
  </si>
  <si>
    <t>11:44</t>
  </si>
  <si>
    <t>Vente 10 VANGUARD S&amp;P500@52,423 EUR (IE00B3XXRP09)</t>
  </si>
  <si>
    <t>524,23</t>
  </si>
  <si>
    <t>-347145,53</t>
  </si>
  <si>
    <t>11:31</t>
  </si>
  <si>
    <t>ETFS ALL COMMODIT.</t>
  </si>
  <si>
    <t>GB00B15KY989</t>
  </si>
  <si>
    <t>Vente 562 ETFS ALL COMMODIT.@7,415 EUR (GB00B15KY989)</t>
  </si>
  <si>
    <t>4167,23</t>
  </si>
  <si>
    <t>-347669,76</t>
  </si>
  <si>
    <t>500c8d12-cec2-49ac-9a03-4d14ecbaca1f</t>
  </si>
  <si>
    <t>09:15</t>
  </si>
  <si>
    <t>Vente 14 VANGUARD S&amp;P500@52,365 EUR (IE00B3XXRP09)</t>
  </si>
  <si>
    <t>733,11</t>
  </si>
  <si>
    <t>-351836,99</t>
  </si>
  <si>
    <t>b31d200d-3cb5-4cb9-916a-6161722e03e1</t>
  </si>
  <si>
    <t>09:12</t>
  </si>
  <si>
    <t>Vente 7 VANGUARD S&amp;P500@52,365 EUR (IE00B3XXRP09)</t>
  </si>
  <si>
    <t>366,56</t>
  </si>
  <si>
    <t>-352570,10</t>
  </si>
  <si>
    <t>09:08</t>
  </si>
  <si>
    <t>Vente 24 VANGUARD S&amp;P500@52,28 EUR (IE00B3XXRP09)</t>
  </si>
  <si>
    <t>1254,72</t>
  </si>
  <si>
    <t>-352936,66</t>
  </si>
  <si>
    <t>f3de3479-6eca-4add-a6f2-d33874e2178a</t>
  </si>
  <si>
    <t>01-11-2019</t>
  </si>
  <si>
    <t>11:33</t>
  </si>
  <si>
    <t>Retrait de fonds en cours</t>
  </si>
  <si>
    <t>-13700,00</t>
  </si>
  <si>
    <t>-354191,38</t>
  </si>
  <si>
    <t>ISIN</t>
  </si>
  <si>
    <t>DE000A0H0728</t>
  </si>
  <si>
    <t>Commodities</t>
  </si>
  <si>
    <t>iShares Diversified Commodity Swap UCITS ETF DE</t>
  </si>
  <si>
    <t>ETFS All Commodities ETC</t>
  </si>
  <si>
    <t>JE00B1VS3770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</si>
  <si>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</si>
  <si>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</si>
  <si>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</si>
  <si>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</si>
  <si>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</si>
  <si>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</si>
  <si>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</si>
  <si>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</si>
  <si>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</si>
  <si>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</si>
  <si>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</si>
  <si>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</si>
  <si>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</si>
  <si>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</si>
  <si>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</si>
  <si>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</si>
  <si>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</si>
  <si>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</si>
  <si>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</si>
  <si>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</si>
  <si>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28-10-2019</t>
  </si>
  <si>
    <t>13:40</t>
  </si>
  <si>
    <t>Vente 22 VANGUARD S&amp;P500@51,85 EUR (IE00B3XXRP09)</t>
  </si>
  <si>
    <t>1140,70</t>
  </si>
  <si>
    <t>-340491,38</t>
  </si>
  <si>
    <t>d7b5610d-d458-4a93-9f04-e452277f175d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</si>
  <si>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</si>
  <si>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</si>
  <si>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</si>
  <si>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</si>
  <si>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</si>
  <si>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</si>
  <si>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</si>
  <si>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</si>
  <si>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</si>
  <si>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</si>
  <si>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</si>
  <si>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13:37</t>
  </si>
  <si>
    <t>NEW ALLOCATION</t>
  </si>
  <si>
    <t>$X € should be allocated in: $DEGLINK and reported in: $APPLINK</t>
  </si>
  <si>
    <t>Vente 20 VANGUARD S&amp;P500@51,85 EUR (IE00B3XXRP09)</t>
  </si>
  <si>
    <t>1037,00</t>
  </si>
  <si>
    <t>-341632,08</t>
  </si>
  <si>
    <t>DateTime</t>
  </si>
  <si>
    <t>Time</t>
  </si>
  <si>
    <t>Year</t>
  </si>
  <si>
    <t>Month</t>
  </si>
  <si>
    <t>Day</t>
  </si>
  <si>
    <t>13:35</t>
  </si>
  <si>
    <t>Vente 5 VANGUARD S&amp;P500@51,85 EUR (IE00B3XXRP09)</t>
  </si>
  <si>
    <t>259,25</t>
  </si>
  <si>
    <t>-342669,08</t>
  </si>
  <si>
    <t>WeekDay</t>
  </si>
  <si>
    <t>OpeningDay</t>
  </si>
  <si>
    <t>ClosingDay</t>
  </si>
  <si>
    <t>OpeningHour</t>
  </si>
  <si>
    <t>ClosingHour</t>
  </si>
  <si>
    <t>IsOpen</t>
  </si>
  <si>
    <t>15-10-2019</t>
  </si>
  <si>
    <t>11:10</t>
  </si>
  <si>
    <t>Retrait de fonds</t>
  </si>
  <si>
    <t>-200,00</t>
  </si>
  <si>
    <t>-342928,33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</si>
  <si>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</si>
  <si>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</si>
  <si>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</si>
  <si>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</si>
  <si>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</si>
  <si>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</si>
  <si>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</si>
  <si>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10-10-2019</t>
  </si>
  <si>
    <t>07:08</t>
  </si>
  <si>
    <t>09-10-2019</t>
  </si>
  <si>
    <t>Operation de change - Crédit</t>
  </si>
  <si>
    <t>821,64</t>
  </si>
  <si>
    <t>-342728,33</t>
  </si>
  <si>
    <t>Working free duration</t>
  </si>
  <si>
    <t>Since Independance duration</t>
  </si>
  <si>
    <t>Since Independance gap</t>
  </si>
  <si>
    <t>Monthly income</t>
  </si>
  <si>
    <t>Opération de change - Débit</t>
  </si>
  <si>
    <t>1,0983</t>
  </si>
  <si>
    <t>USD</t>
  </si>
  <si>
    <t>-902,42</t>
  </si>
  <si>
    <t>0,00</t>
  </si>
  <si>
    <t>Income use</t>
  </si>
  <si>
    <t>Current monthly dividend / thousand</t>
  </si>
  <si>
    <t xml:space="preserve">Last year monthly dividend </t>
  </si>
  <si>
    <t>08:45</t>
  </si>
  <si>
    <t>Dividende</t>
  </si>
  <si>
    <t>902,42</t>
  </si>
  <si>
    <t>Next portfolio objective</t>
  </si>
  <si>
    <t>Next portfolio objective spread</t>
  </si>
  <si>
    <t>Next portfolio objective ratio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</si>
  <si>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</si>
  <si>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</si>
  <si>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</si>
  <si>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</si>
  <si>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</si>
  <si>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</si>
  <si>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</si>
  <si>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</si>
  <si>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Target Dist</t>
  </si>
  <si>
    <t>Last year dividend rate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</si>
  <si>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</si>
  <si>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</si>
  <si>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</si>
  <si>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</si>
  <si>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</si>
  <si>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</si>
  <si>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</si>
  <si>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</si>
  <si>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Livret A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</si>
  <si>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</si>
  <si>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</si>
  <si>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</si>
  <si>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</si>
  <si>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</si>
  <si>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</si>
  <si>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</si>
  <si>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</si>
  <si>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</si>
  <si>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</si>
  <si>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</si>
  <si>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</si>
  <si>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</si>
  <si>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</si>
  <si>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</si>
  <si>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</si>
  <si>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</si>
  <si>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</si>
  <si>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</si>
  <si>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</si>
  <si>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EONIA</t>
  </si>
  <si>
    <t>Price Gap</t>
  </si>
  <si>
    <t>Avg value</t>
  </si>
  <si>
    <t>Mean price</t>
  </si>
  <si>
    <t>Last upd</t>
  </si>
  <si>
    <t>Last div</t>
  </si>
  <si>
    <t>Next div</t>
  </si>
  <si>
    <t>Investment provision</t>
  </si>
  <si>
    <t>Next div dur</t>
  </si>
  <si>
    <t>Est div</t>
  </si>
  <si>
    <t>Div / month</t>
  </si>
  <si>
    <t>TEST</t>
  </si>
  <si>
    <t>Last year daily average progress</t>
  </si>
  <si>
    <t>ishares-usd-treasury-bond-20yr-de?cid=956312</t>
  </si>
  <si>
    <t>IS04 | iShares Treasury Bond 20+ UCITS Xetra ETF - Investing.com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</si>
  <si>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</si>
  <si>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</si>
  <si>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</si>
  <si>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</si>
  <si>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</si>
  <si>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</si>
  <si>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</si>
  <si>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</si>
  <si>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Inst profit</t>
  </si>
  <si>
    <t>Avg profit</t>
  </si>
  <si>
    <t>SELL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</si>
  <si>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</si>
  <si>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</si>
  <si>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</si>
  <si>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</si>
  <si>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</si>
  <si>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</si>
  <si>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</si>
  <si>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X</t>
  </si>
  <si>
    <t>vanguard-s-p-500-uk?cid=962112</t>
  </si>
  <si>
    <t>VUSA | Vanguard S&amp;P 500 UCITS Amsterdam ETF - Investing.com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</si>
  <si>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</si>
  <si>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</si>
  <si>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</si>
  <si>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</si>
  <si>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</si>
  <si>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</si>
  <si>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ishares-$-treasury-bond-7-10?cid=47280</t>
  </si>
  <si>
    <t>BTMA | iShares Treasury Bond 7-10 UCITS Amsterdam ETF - Investing.com</t>
  </si>
  <si>
    <t>APPROVISIONNEMENT</t>
  </si>
  <si>
    <t>@APPROVISIONNEMENT@@-13700</t>
  </si>
  <si>
    <t>COST</t>
  </si>
  <si>
    <t>@COST@@-369.69</t>
  </si>
  <si>
    <t>Vanguard S&amp;P 500 UCITS@SELL@-22@1140.7</t>
  </si>
  <si>
    <t>Vanguard S&amp;P 500 UCITS@SELL@-20@1037</t>
  </si>
  <si>
    <t>Vanguard S&amp;P 500 UCITS@SELL@-5@259.25</t>
  </si>
  <si>
    <t>@APPROVISIONNEMENT@@-200</t>
  </si>
  <si>
    <t>DIVIDEND</t>
  </si>
  <si>
    <t>Vanguard S&amp;P 500 UCITS@DIVIDEND@@902.42</t>
  </si>
  <si>
    <t>etfs---physical-gold?cid=37600</t>
  </si>
  <si>
    <t>PHAU | ETFS Physical Gold Amsterdam ETF - Investing.com</t>
  </si>
  <si>
    <t>Vanguard S&amp;P 500 UCITS@DIVIDEND@@-80.78</t>
  </si>
  <si>
    <t>@APPROVISIONNEMENT@@-400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</si>
  <si>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</si>
  <si>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</si>
  <si>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</si>
  <si>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</si>
  <si>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</si>
  <si>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</si>
  <si>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etfs-all-commodities-dj-aigci?cid=47349</t>
  </si>
  <si>
    <t>AIGCP | ETFS All Commodities ETC Paris ETF - Investing.com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</si>
  <si>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</si>
  <si>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</si>
  <si>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</si>
  <si>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</si>
  <si>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@APPROVISIONNEMENT@@-300</t>
  </si>
  <si>
    <t>@APPROVISIONNEMENT@@-100</t>
  </si>
  <si>
    <t>TOTAL</t>
  </si>
  <si>
    <t>@APPROVISIONNEMENT@@-0.1</t>
  </si>
  <si>
    <t>Vanguard S&amp;P 500 UCITS@SELL@-21@1080.45</t>
  </si>
  <si>
    <t>Vanguard S&amp;P 500 UCITS@SELL@-43@2210.93</t>
  </si>
  <si>
    <t>@APPROVISIONNEMENT@@0.1</t>
  </si>
  <si>
    <t>BUY</t>
  </si>
  <si>
    <t>ETFS All Commodities ETC@BUY@223@-1597.8</t>
  </si>
  <si>
    <t>ETFS All Commodities ETC@BUY@213@-1533.6</t>
  </si>
  <si>
    <t>@COST@@-461.31</t>
  </si>
  <si>
    <t>Div</t>
  </si>
  <si>
    <t>Progress</t>
  </si>
  <si>
    <t>Total evolution</t>
  </si>
  <si>
    <t>Avg evolution</t>
  </si>
  <si>
    <t>Total profit</t>
  </si>
  <si>
    <t>ETFS Physical Gold@SELL@-8@1052</t>
  </si>
  <si>
    <t>@APPROVISIONNEMENT@@-1000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</si>
  <si>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</si>
  <si>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</si>
  <si>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</si>
  <si>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</si>
  <si>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</si>
  <si>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</si>
  <si>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</si>
  <si>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</si>
  <si>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</si>
  <si>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</si>
  <si>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</si>
  <si>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Margin available</t>
  </si>
  <si>
    <t>Monetary fund</t>
  </si>
  <si>
    <t>Portfolio value</t>
  </si>
  <si>
    <t>Portfolio risk</t>
  </si>
  <si>
    <t>Credit available</t>
  </si>
  <si>
    <t>Gage value</t>
  </si>
  <si>
    <t>iShares Treasury Bond 7-10 UCITS@SELL@-6@1126.8</t>
  </si>
  <si>
    <t>MARGIN</t>
  </si>
  <si>
    <t>CURRENT ALLOCATION</t>
  </si>
  <si>
    <t>AVAILABLE ALLOCATION</t>
  </si>
  <si>
    <t>REQUESTED ALLOCATION</t>
  </si>
  <si>
    <t>Monthly portfolio average</t>
  </si>
  <si>
    <t>iShares Treasury Bond 20+ UCITS@SELL@-203@1004.5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</si>
  <si>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</si>
  <si>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</si>
  <si>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</si>
  <si>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</si>
  <si>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</si>
  <si>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</si>
  <si>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</si>
  <si>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</si>
  <si>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</si>
  <si>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iShares Treasury Bond 20+ UCITS@SELL@-203@1002.82</t>
  </si>
  <si>
    <t>iShares Treasury Bond 7-10 UCITS@SELL@-7@1314.25</t>
  </si>
  <si>
    <t>iShares Treasury Bond 20+ UCITS@SELL@-203@1001.6</t>
  </si>
  <si>
    <t>Is Expense</t>
  </si>
  <si>
    <t>RETRAIT DAB 05/11/19 CONFLANS ST CB*7911</t>
  </si>
  <si>
    <t>iShares Treasury Bond 20+ UCITS@SELL@-355@1750.15</t>
  </si>
  <si>
    <t>VIR SEPA M LORTHIOIS BRUNO</t>
  </si>
  <si>
    <t>VIR Virement de Monsieur Florian DEFROC</t>
  </si>
  <si>
    <t>VIR SEPA STICHTING DEGIRO</t>
  </si>
  <si>
    <t>VIR SEPA Century 21</t>
  </si>
  <si>
    <t>VIR SEPA CAF DES YVELINES</t>
  </si>
  <si>
    <t>VIR SEPA POLE EMPLOI DR IDF ALLOCATAIRE</t>
  </si>
  <si>
    <t>CARTE 19/10/19 Wikipedia Gift CB*7911</t>
  </si>
  <si>
    <t>RETRAIT DAB 12/10/19 CONFLANS ST CB*7911</t>
  </si>
  <si>
    <t>PRLV SEPA AVANSSUR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</si>
  <si>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</si>
  <si>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</si>
  <si>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</si>
  <si>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</si>
  <si>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</si>
  <si>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</si>
  <si>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</si>
  <si>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</si>
  <si>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</si>
  <si>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</si>
  <si>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</si>
  <si>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SEPA DEFROCOURT Florian</t>
  </si>
  <si>
    <t>VIR Virement instantane de MR DEFROCOUR</t>
  </si>
  <si>
    <t>CARTE 28/07/19 78 SM CASINO CS73 CB*9987</t>
  </si>
  <si>
    <t>CARTE 28/07/19 78 LE PETRIN DE M CB*9987</t>
  </si>
  <si>
    <t>VIR SEPA MME CAPELLE PATRICIA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</si>
  <si>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</si>
  <si>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</si>
  <si>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</si>
  <si>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</si>
  <si>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</si>
  <si>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</si>
  <si>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</si>
  <si>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</si>
  <si>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VIR SEPA De Giro Stichting</t>
  </si>
  <si>
    <t>VIR SEPA MR LOPEZ GERARD OU MME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</si>
  <si>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</si>
  <si>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</si>
  <si>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</si>
  <si>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</si>
  <si>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</si>
  <si>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</si>
  <si>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</si>
  <si>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</si>
  <si>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</si>
  <si>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</si>
  <si>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</si>
  <si>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</si>
  <si>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</si>
  <si>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</si>
  <si>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</si>
  <si>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</si>
  <si>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</si>
  <si>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</si>
  <si>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</si>
  <si>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</si>
  <si>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</si>
  <si>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</si>
  <si>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</si>
  <si>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</si>
  <si>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</si>
  <si>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</si>
  <si>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</si>
  <si>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</si>
  <si>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</si>
  <si>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</si>
  <si>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</si>
  <si>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</si>
  <si>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</si>
  <si>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</si>
  <si>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</si>
  <si>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</si>
  <si>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</si>
  <si>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</si>
  <si>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</si>
  <si>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</si>
  <si>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</si>
  <si>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</si>
  <si>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</si>
  <si>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</si>
  <si>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</si>
  <si>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</si>
  <si>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</si>
  <si>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</si>
  <si>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</si>
  <si>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</si>
  <si>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</si>
  <si>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</si>
  <si>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</si>
  <si>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</si>
  <si>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</si>
  <si>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</si>
  <si>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iShares Treasury Bond 20+ UCITS@COST@@-2.35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</si>
  <si>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</si>
  <si>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</si>
  <si>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</si>
  <si>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</si>
  <si>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</si>
  <si>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</si>
  <si>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</si>
  <si>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</si>
  <si>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</si>
  <si>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</si>
  <si>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</si>
  <si>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</si>
  <si>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</si>
  <si>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</si>
  <si>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</si>
  <si>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</si>
  <si>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</si>
  <si>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</si>
  <si>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</si>
  <si>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</si>
  <si>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</si>
  <si>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</si>
  <si>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</si>
  <si>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</si>
  <si>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</si>
  <si>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</si>
  <si>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</si>
  <si>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</si>
  <si>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</si>
  <si>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</si>
  <si>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</si>
  <si>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</si>
  <si>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</si>
  <si>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</si>
  <si>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</si>
  <si>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</si>
  <si>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</si>
  <si>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</si>
  <si>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</si>
  <si>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</si>
  <si>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</si>
  <si>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</si>
  <si>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</si>
  <si>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</si>
  <si>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</si>
  <si>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</si>
  <si>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</si>
  <si>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</si>
  <si>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</si>
  <si>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</si>
  <si>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</si>
  <si>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</si>
  <si>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</si>
  <si>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</si>
  <si>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</si>
  <si>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iShares Treasury Bond 20+ UCITS@SELL@-100@493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</si>
  <si>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</si>
  <si>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</si>
  <si>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</si>
  <si>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</si>
  <si>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</si>
  <si>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</si>
  <si>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</si>
  <si>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</si>
  <si>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</si>
  <si>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</si>
  <si>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Rent</t>
  </si>
  <si>
    <t>iShares Treasury Bond 20+ UCITS@COST@@-2.1</t>
  </si>
  <si>
    <t>Boubou</t>
  </si>
  <si>
    <t>PE</t>
  </si>
  <si>
    <t>iShares Treasury Bond 20+ UCITS@SELL@-500@2465</t>
  </si>
  <si>
    <t>Alloc</t>
  </si>
  <si>
    <t>Bruno (tractor)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</si>
  <si>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</si>
  <si>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</si>
  <si>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</si>
  <si>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</si>
  <si>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</si>
  <si>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Capital</t>
  </si>
  <si>
    <t>Paclone</t>
  </si>
  <si>
    <t>Cumul value</t>
  </si>
  <si>
    <t>Movement</t>
  </si>
  <si>
    <t>Current gain</t>
  </si>
  <si>
    <t>Cumul gain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</si>
  <si>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</si>
  <si>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</si>
  <si>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</si>
  <si>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</si>
  <si>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</si>
  <si>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</si>
  <si>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</si>
  <si>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</si>
  <si>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</si>
  <si>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</si>
  <si>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</si>
  <si>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</si>
  <si>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</si>
  <si>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</si>
  <si>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</si>
  <si>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</si>
  <si>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</si>
  <si>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</si>
  <si>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</si>
  <si>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</si>
  <si>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</si>
  <si>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</si>
  <si>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</si>
  <si>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</si>
  <si>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</si>
  <si>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</si>
  <si>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</si>
  <si>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</si>
  <si>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</si>
  <si>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</si>
  <si>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</si>
  <si>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</si>
  <si>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</si>
  <si>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</si>
  <si>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</si>
  <si>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</si>
  <si>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</si>
  <si>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</si>
  <si>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</si>
  <si>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</si>
  <si>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</si>
  <si>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</si>
  <si>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</si>
  <si>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</si>
  <si>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</si>
  <si>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@COST@@-92.69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</si>
  <si>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</si>
  <si>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</si>
  <si>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</si>
  <si>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</si>
  <si>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</si>
  <si>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</si>
  <si>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</si>
  <si>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</si>
  <si>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</si>
  <si>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</si>
  <si>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</si>
  <si>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</si>
  <si>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</si>
  <si>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</si>
  <si>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UCITS@COST@@16.67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</si>
  <si>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</si>
  <si>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</si>
  <si>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</si>
  <si>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</si>
  <si>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UCITS@DIVIDEND@@48.88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</si>
  <si>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</si>
  <si>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</si>
  <si>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</si>
  <si>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</si>
  <si>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</si>
  <si>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</si>
  <si>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</si>
  <si>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</si>
  <si>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</si>
  <si>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</si>
  <si>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</si>
  <si>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</si>
  <si>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</si>
  <si>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</si>
  <si>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</si>
  <si>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</si>
  <si>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</si>
  <si>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</si>
  <si>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</si>
  <si>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</si>
  <si>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UCITS@COST@@20.46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</si>
  <si>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</si>
  <si>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</si>
  <si>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</si>
  <si>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</si>
  <si>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</si>
  <si>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</si>
  <si>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</si>
  <si>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</si>
  <si>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</si>
  <si>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</si>
  <si>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</si>
  <si>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</si>
  <si>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UCITS@COST@@-2.22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</si>
  <si>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</si>
  <si>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</si>
  <si>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</si>
  <si>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</si>
  <si>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</si>
  <si>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</si>
  <si>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</si>
  <si>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</si>
  <si>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</si>
  <si>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</si>
  <si>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</si>
  <si>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</si>
  <si>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</si>
  <si>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</si>
  <si>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</si>
  <si>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</si>
  <si>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</si>
  <si>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</si>
  <si>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</si>
  <si>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</si>
  <si>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</si>
  <si>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</si>
  <si>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</si>
  <si>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</si>
  <si>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</si>
  <si>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</si>
  <si>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</si>
  <si>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</si>
  <si>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</si>
  <si>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</si>
  <si>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</si>
  <si>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</si>
  <si>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</si>
  <si>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</si>
  <si>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</si>
  <si>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</si>
  <si>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</si>
  <si>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</si>
  <si>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</si>
  <si>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</si>
  <si>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</si>
  <si>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</si>
  <si>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</si>
  <si>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</si>
  <si>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</si>
  <si>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</si>
  <si>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</si>
  <si>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</si>
  <si>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</si>
  <si>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</si>
  <si>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</si>
  <si>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</si>
  <si>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</si>
  <si>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</si>
  <si>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</si>
  <si>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</si>
  <si>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</si>
  <si>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</si>
  <si>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</si>
  <si>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</si>
  <si>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</si>
  <si>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</si>
  <si>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</si>
  <si>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</si>
  <si>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</si>
  <si>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</si>
  <si>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</si>
  <si>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</si>
  <si>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</si>
  <si>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</si>
  <si>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</si>
  <si>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</si>
  <si>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</si>
  <si>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</si>
  <si>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</si>
  <si>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</si>
  <si>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</si>
  <si>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</si>
  <si>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</si>
  <si>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</si>
  <si>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</si>
  <si>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</si>
  <si>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</si>
  <si>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</si>
  <si>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</si>
  <si>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@COST@@-5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</si>
  <si>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</si>
  <si>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</si>
  <si>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</si>
  <si>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</si>
  <si>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</si>
  <si>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</si>
  <si>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</si>
  <si>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</si>
  <si>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</si>
  <si>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</si>
  <si>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</si>
  <si>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</si>
  <si>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</si>
  <si>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</si>
  <si>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</si>
  <si>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</si>
  <si>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</si>
  <si>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</si>
  <si>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</si>
  <si>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</si>
  <si>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</si>
  <si>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</si>
  <si>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</si>
  <si>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</si>
  <si>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</si>
  <si>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</si>
  <si>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</si>
  <si>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</si>
  <si>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@APPROVISIONNEMENT@@-1500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</si>
  <si>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</si>
  <si>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</si>
  <si>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</si>
  <si>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</si>
  <si>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</si>
  <si>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</si>
  <si>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</si>
  <si>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</si>
  <si>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</si>
  <si>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UCITS@COST@@-2.28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</si>
  <si>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</si>
  <si>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</si>
  <si>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</si>
  <si>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</si>
  <si>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</si>
  <si>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</si>
  <si>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</si>
  <si>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</si>
  <si>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</si>
  <si>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</si>
  <si>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</si>
  <si>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</si>
  <si>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</si>
  <si>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</si>
  <si>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</si>
  <si>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</si>
  <si>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</si>
  <si>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</si>
  <si>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</si>
  <si>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</si>
  <si>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</si>
  <si>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</si>
  <si>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</si>
  <si>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</si>
  <si>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</si>
  <si>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</si>
  <si>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</si>
  <si>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</si>
  <si>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</si>
  <si>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</si>
  <si>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</si>
  <si>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</si>
  <si>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</si>
  <si>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</si>
  <si>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</si>
  <si>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</si>
  <si>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</si>
  <si>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</si>
  <si>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</si>
  <si>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</si>
  <si>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</si>
  <si>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</si>
  <si>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</si>
  <si>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</si>
  <si>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</si>
  <si>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</si>
  <si>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</si>
  <si>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</si>
  <si>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</si>
  <si>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</si>
  <si>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</si>
  <si>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</si>
  <si>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</si>
  <si>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</si>
  <si>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</si>
  <si>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</si>
  <si>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</si>
  <si>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</si>
  <si>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</si>
  <si>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</si>
  <si>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</si>
  <si>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</si>
  <si>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</si>
  <si>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</si>
  <si>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</si>
  <si>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</si>
  <si>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</si>
  <si>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</si>
  <si>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</si>
  <si>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</si>
  <si>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</si>
  <si>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</si>
  <si>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</si>
  <si>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</si>
  <si>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</si>
  <si>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</si>
  <si>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</si>
  <si>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</si>
  <si>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</si>
  <si>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</si>
  <si>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</si>
  <si>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</si>
  <si>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</si>
  <si>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</si>
  <si>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</si>
  <si>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</si>
  <si>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</si>
  <si>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</si>
  <si>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</si>
  <si>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</si>
  <si>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</si>
  <si>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</si>
  <si>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</si>
  <si>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</si>
  <si>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</si>
  <si>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</si>
  <si>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</si>
  <si>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</si>
  <si>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</si>
  <si>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</si>
  <si>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</si>
  <si>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</si>
  <si>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</si>
  <si>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</si>
  <si>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</si>
  <si>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</si>
  <si>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</si>
  <si>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</si>
  <si>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</si>
  <si>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</si>
  <si>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</si>
  <si>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</si>
  <si>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</si>
  <si>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</si>
  <si>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</si>
  <si>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</si>
  <si>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</si>
  <si>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</si>
  <si>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</si>
  <si>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</si>
  <si>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</si>
  <si>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</si>
  <si>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</si>
  <si>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</si>
  <si>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</si>
  <si>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</si>
  <si>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</si>
  <si>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</si>
  <si>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</si>
  <si>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</si>
  <si>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</si>
  <si>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</si>
  <si>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</si>
  <si>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</si>
  <si>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</si>
  <si>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</si>
  <si>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</si>
  <si>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</si>
  <si>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</si>
  <si>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</si>
  <si>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</si>
  <si>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</si>
  <si>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</si>
  <si>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</si>
  <si>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</si>
  <si>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</si>
  <si>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</si>
  <si>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</si>
  <si>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</si>
  <si>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</si>
  <si>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</si>
  <si>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</si>
  <si>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</si>
  <si>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</si>
  <si>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</si>
  <si>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</si>
  <si>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</si>
  <si>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</si>
  <si>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</si>
  <si>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</si>
  <si>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</si>
  <si>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</si>
  <si>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</si>
  <si>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</si>
  <si>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</si>
  <si>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</si>
  <si>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</si>
  <si>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</si>
  <si>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</si>
  <si>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</si>
  <si>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</si>
  <si>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</si>
  <si>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</si>
  <si>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</si>
  <si>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</si>
  <si>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</si>
  <si>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</si>
  <si>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</si>
  <si>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</si>
  <si>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</si>
  <si>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</si>
  <si>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</si>
  <si>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</si>
  <si>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</si>
  <si>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</si>
  <si>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</si>
  <si>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</si>
  <si>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</si>
  <si>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</si>
  <si>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</si>
  <si>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</si>
  <si>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</si>
  <si>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</si>
  <si>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</si>
  <si>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</si>
  <si>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</si>
  <si>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</si>
  <si>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</si>
  <si>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</si>
  <si>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</si>
  <si>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</si>
  <si>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</si>
  <si>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</si>
  <si>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</si>
  <si>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</si>
  <si>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</si>
  <si>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</si>
  <si>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</si>
  <si>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</si>
  <si>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</si>
  <si>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</si>
  <si>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</si>
  <si>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</si>
  <si>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</si>
  <si>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</si>
  <si>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</si>
  <si>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</si>
  <si>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</si>
  <si>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</si>
  <si>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</si>
  <si>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</si>
  <si>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</si>
  <si>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</si>
  <si>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</si>
  <si>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</si>
  <si>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</si>
  <si>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</si>
  <si>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</si>
  <si>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</si>
  <si>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</si>
  <si>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</si>
  <si>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</si>
  <si>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</si>
  <si>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</si>
  <si>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</si>
  <si>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</si>
  <si>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</si>
  <si>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</si>
  <si>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</si>
  <si>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</si>
  <si>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</si>
  <si>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</si>
  <si>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</si>
  <si>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</si>
  <si>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</si>
  <si>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</si>
  <si>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</si>
  <si>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</si>
  <si>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</si>
  <si>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</si>
  <si>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</si>
  <si>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</si>
  <si>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</si>
  <si>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</si>
  <si>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</si>
  <si>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</si>
  <si>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</si>
  <si>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</si>
  <si>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</si>
  <si>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</si>
  <si>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</si>
  <si>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</si>
  <si>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</si>
  <si>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</si>
  <si>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</si>
  <si>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</si>
  <si>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</si>
  <si>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</si>
  <si>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</si>
  <si>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</si>
  <si>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</si>
  <si>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</si>
  <si>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</si>
  <si>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</si>
  <si>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</si>
  <si>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</si>
  <si>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</si>
  <si>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</si>
  <si>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</si>
  <si>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</si>
  <si>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</si>
  <si>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</si>
  <si>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</si>
  <si>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</si>
  <si>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</si>
  <si>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</si>
  <si>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</si>
  <si>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</si>
  <si>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</si>
  <si>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</si>
  <si>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</si>
  <si>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</si>
  <si>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</si>
  <si>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</si>
  <si>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</si>
  <si>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</si>
  <si>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</si>
  <si>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</si>
  <si>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</si>
  <si>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</si>
  <si>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</si>
  <si>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</si>
  <si>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</si>
  <si>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</si>
  <si>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</si>
  <si>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@COST@@6.89</t>
  </si>
  <si>
    <t>TOTAL GABON</t>
  </si>
  <si>
    <t>EDF</t>
  </si>
  <si>
    <t>BOUYGUES</t>
  </si>
  <si>
    <t>TECHNIP</t>
  </si>
  <si>
    <t>STMICROELECTRONICS</t>
  </si>
  <si>
    <t>ALSTOM REGROUPT</t>
  </si>
  <si>
    <t>ANF IMMOBILIER</t>
  </si>
  <si>
    <t>SANOFI</t>
  </si>
  <si>
    <t>UNIBAIL RODAMCO SE</t>
  </si>
  <si>
    <t>ORANGE</t>
  </si>
  <si>
    <t>GDF SUEZ</t>
  </si>
  <si>
    <t>ABC ARBITRAGE</t>
  </si>
  <si>
    <t>TOTAL SA</t>
  </si>
  <si>
    <t>FRANCE TELECOM</t>
  </si>
  <si>
    <t>VIVENDI</t>
  </si>
  <si>
    <t>PEUGEOT</t>
  </si>
  <si>
    <t>CREDIT AGRICOLE</t>
  </si>
  <si>
    <t>VEOLIA ENVIRON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</si>
</sst>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M/d/yyyy H:mm:ss"/>
    <numFmt numFmtId="167" formatCode="dd&quot;/&quot;mm&quot;/&quot;yyyy"/>
    <numFmt numFmtId="168" formatCode="#,##0.00\ [$€-1]"/>
    <numFmt numFmtId="169" formatCode="M/d/yyyy"/>
    <numFmt numFmtId="170" formatCode="0.000"/>
    <numFmt numFmtId="171" formatCode="#,##0.000 €"/>
    <numFmt numFmtId="172" formatCode="dd&quot;/&quot;mm&quot;/&quot;yyyy&quot; &quot;h&quot;:&quot;mm&quot;:&quot;ss"/>
    <numFmt numFmtId="173" formatCode="m/d/yyyy h:mm:ss"/>
    <numFmt numFmtId="174" formatCode="h:mm:ss am/pm"/>
    <numFmt numFmtId="175" formatCode="0.000%"/>
    <numFmt numFmtId="176" formatCode="0.0%"/>
    <numFmt numFmtId="177" formatCode="#,##0.0000"/>
    <numFmt numFmtId="178" formatCode="0.0"/>
    <numFmt numFmtId="179" formatCode="dd/MM/yyyy"/>
    <numFmt numFmtId="180" formatCode="#,##0.00#\ [$€-1]"/>
    <numFmt numFmtId="181" formatCode="#,##0.0000000\ [$€-1]"/>
    <numFmt numFmtId="182" formatCode="mm&quot;/&quot;yyyy"/>
    <numFmt numFmtId="183" formatCode="#,##0.00&quot;€&quot;"/>
    <numFmt numFmtId="184" formatCode="mm-dd-yyyy"/>
  </numFmts>
  <fonts count="26">
    <font>
      <sz val="10.0"/>
      <color rgb="FF000000"/>
      <name val="Arial"/>
    </font>
    <font>
      <b/>
    </font>
    <font/>
    <font>
      <b/>
      <i/>
    </font>
    <font>
      <b/>
      <i/>
      <name val="Arial"/>
    </font>
    <font>
      <name val="Arial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b/>
      <name val="Arial"/>
    </font>
    <font>
      <sz val="10.0"/>
    </font>
    <font>
      <u/>
      <sz val="11.0"/>
      <color rgb="FF0000FF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000000"/>
      <name val="Arial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b/>
      <color rgb="FF000000"/>
      <name val="Arial"/>
    </font>
    <font>
      <b/>
      <sz val="10.0"/>
    </font>
    <font>
      <color rgb="FF000000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989898"/>
        <bgColor rgb="FF989898"/>
      </patternFill>
    </fill>
    <fill>
      <patternFill patternType="solid">
        <fgColor rgb="FFDFDFDF"/>
        <bgColor rgb="FFDFDFDF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0" fillId="3" fontId="3" numFmtId="0" xfId="0" applyAlignment="1" applyFill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0"/>
    </xf>
    <xf borderId="0" fillId="3" fontId="3" numFmtId="164" xfId="0" applyAlignment="1" applyFont="1" applyNumberFormat="1">
      <alignment horizontal="center" readingOrder="0" shrinkToFit="0" wrapText="1"/>
    </xf>
    <xf borderId="0" fillId="3" fontId="3" numFmtId="165" xfId="0" applyAlignment="1" applyFont="1" applyNumberForma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3" fontId="3" numFmtId="165" xfId="0" applyAlignment="1" applyFont="1" applyNumberForma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3" fontId="2" numFmtId="0" xfId="0" applyAlignment="1" applyBorder="1" applyFont="1">
      <alignment shrinkToFit="0" wrapText="1"/>
    </xf>
    <xf borderId="0" fillId="3" fontId="2" numFmtId="49" xfId="0" applyAlignment="1" applyFont="1" applyNumberFormat="1">
      <alignment readingOrder="0" shrinkToFit="0" wrapText="1"/>
    </xf>
    <xf borderId="0" fillId="3" fontId="4" numFmtId="166" xfId="0" applyAlignment="1" applyFont="1" applyNumberFormat="1">
      <alignment horizontal="center" shrinkToFit="0" vertical="bottom" wrapText="1"/>
    </xf>
    <xf borderId="0" fillId="0" fontId="2" numFmtId="167" xfId="0" applyAlignment="1" applyFont="1" applyNumberFormat="1">
      <alignment readingOrder="0" shrinkToFit="0" wrapText="1"/>
    </xf>
    <xf borderId="0" fillId="0" fontId="2" numFmtId="168" xfId="0" applyAlignment="1" applyFont="1" applyNumberFormat="1">
      <alignment readingOrder="0" shrinkToFit="0" wrapText="1"/>
    </xf>
    <xf borderId="0" fillId="3" fontId="4" numFmtId="169" xfId="0" applyAlignment="1" applyFont="1" applyNumberFormat="1">
      <alignment horizontal="center" shrinkToFit="0" vertical="bottom" wrapText="1"/>
    </xf>
    <xf borderId="0" fillId="3" fontId="4" numFmtId="49" xfId="0" applyAlignment="1" applyFont="1" applyNumberFormat="1">
      <alignment horizontal="center" readingOrder="0" shrinkToFit="0" vertical="bottom" wrapText="1"/>
    </xf>
    <xf borderId="0" fillId="0" fontId="2" numFmtId="10" xfId="0" applyAlignment="1" applyFont="1" applyNumberFormat="1">
      <alignment readingOrder="0" shrinkToFit="0" wrapText="1"/>
    </xf>
    <xf borderId="0" fillId="3" fontId="4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3" fontId="4" numFmtId="170" xfId="0" applyAlignment="1" applyFont="1" applyNumberFormat="1">
      <alignment horizontal="center" shrinkToFit="0" vertical="bottom" wrapText="1"/>
    </xf>
    <xf borderId="0" fillId="3" fontId="4" numFmtId="168" xfId="0" applyAlignment="1" applyFont="1" applyNumberFormat="1">
      <alignment horizontal="center" shrinkToFit="0" vertical="bottom" wrapText="1"/>
    </xf>
    <xf borderId="0" fillId="3" fontId="5" numFmtId="165" xfId="0" applyAlignment="1" applyFont="1" applyNumberFormat="1">
      <alignment shrinkToFit="0" vertical="bottom" wrapText="0"/>
    </xf>
    <xf borderId="0" fillId="3" fontId="5" numFmtId="49" xfId="0" applyAlignment="1" applyFont="1" applyNumberFormat="1">
      <alignment shrinkToFit="0" vertical="bottom" wrapText="0"/>
    </xf>
    <xf borderId="0" fillId="3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1"/>
    </xf>
    <xf borderId="4" fillId="4" fontId="2" numFmtId="0" xfId="0" applyAlignment="1" applyBorder="1" applyFill="1" applyFont="1">
      <alignment shrinkToFit="0" wrapText="1"/>
    </xf>
    <xf borderId="0" fillId="0" fontId="2" numFmtId="168" xfId="0" applyAlignment="1" applyFont="1" applyNumberFormat="1">
      <alignment shrinkToFit="0" wrapText="1"/>
    </xf>
    <xf borderId="0" fillId="4" fontId="2" numFmtId="4" xfId="0" applyAlignment="1" applyFont="1" applyNumberFormat="1">
      <alignment shrinkToFit="0" wrapText="1"/>
    </xf>
    <xf borderId="0" fillId="4" fontId="2" numFmtId="166" xfId="0" applyAlignment="1" applyFont="1" applyNumberFormat="1">
      <alignment readingOrder="0" shrinkToFit="0" wrapText="1"/>
    </xf>
    <xf borderId="0" fillId="4" fontId="2" numFmtId="169" xfId="0" applyAlignment="1" applyFont="1" applyNumberFormat="1">
      <alignment readingOrder="0"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0" fillId="4" fontId="2" numFmtId="3" xfId="0" applyAlignment="1" applyFont="1" applyNumberFormat="1">
      <alignment shrinkToFit="0" wrapText="1"/>
    </xf>
    <xf borderId="0" fillId="4" fontId="2" numFmtId="170" xfId="0" applyAlignment="1" applyFont="1" applyNumberFormat="1">
      <alignment shrinkToFit="0" wrapText="1"/>
    </xf>
    <xf borderId="4" fillId="4" fontId="2" numFmtId="0" xfId="0" applyAlignment="1" applyBorder="1" applyFont="1">
      <alignment shrinkToFit="0" wrapText="0"/>
    </xf>
    <xf borderId="0" fillId="4" fontId="2" numFmtId="49" xfId="0" applyAlignment="1" applyFont="1" applyNumberFormat="1">
      <alignment shrinkToFit="0" wrapText="0"/>
    </xf>
    <xf borderId="0" fillId="4" fontId="2" numFmtId="0" xfId="0" applyAlignment="1" applyFont="1">
      <alignment shrinkToFit="0" wrapText="0"/>
    </xf>
    <xf borderId="0" fillId="3" fontId="3" numFmtId="169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center" readingOrder="0" shrinkToFit="0" wrapText="1"/>
    </xf>
    <xf borderId="0" fillId="3" fontId="3" numFmtId="49" xfId="0" applyAlignment="1" applyFont="1" applyNumberFormat="1">
      <alignment horizontal="center" readingOrder="0" shrinkToFit="0" wrapText="0"/>
    </xf>
    <xf borderId="0" fillId="3" fontId="3" numFmtId="171" xfId="0" applyAlignment="1" applyFont="1" applyNumberFormat="1">
      <alignment horizontal="center" readingOrder="0" shrinkToFit="0" wrapText="1"/>
    </xf>
    <xf borderId="0" fillId="3" fontId="3" numFmtId="168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3" xfId="0" applyAlignment="1" applyFont="1" applyNumberFormat="1">
      <alignment readingOrder="0" shrinkToFit="0" wrapText="1"/>
    </xf>
    <xf borderId="0" fillId="0" fontId="2" numFmtId="171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5" numFmtId="49" xfId="0" applyAlignment="1" applyFont="1" applyNumberFormat="1">
      <alignment shrinkToFit="0" vertical="bottom" wrapText="1"/>
    </xf>
    <xf borderId="0" fillId="5" fontId="3" numFmtId="168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2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173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4" xfId="0" applyAlignment="1" applyFont="1" applyNumberForma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2" fillId="3" fontId="7" numFmtId="165" xfId="0" applyAlignment="1" applyBorder="1" applyFont="1" applyNumberFormat="1">
      <alignment shrinkToFit="0" wrapText="1"/>
    </xf>
    <xf borderId="0" fillId="3" fontId="8" numFmtId="0" xfId="0" applyAlignment="1" applyFont="1">
      <alignment readingOrder="0" shrinkToFit="0" vertical="bottom" wrapText="0"/>
    </xf>
    <xf borderId="0" fillId="3" fontId="9" numFmtId="10" xfId="0" applyAlignment="1" applyFont="1" applyNumberFormat="1">
      <alignment readingOrder="0" shrinkToFit="0" vertical="bottom" wrapText="0"/>
    </xf>
    <xf borderId="0" fillId="3" fontId="6" numFmtId="0" xfId="0" applyAlignment="1" applyFont="1">
      <alignment readingOrder="0" shrinkToFit="0" wrapText="1"/>
    </xf>
    <xf borderId="0" fillId="3" fontId="7" numFmtId="165" xfId="0" applyAlignment="1" applyFont="1" applyNumberFormat="1">
      <alignment shrinkToFit="0" wrapText="1"/>
    </xf>
    <xf borderId="0" fillId="3" fontId="7" numFmtId="10" xfId="0" applyAlignment="1" applyFont="1" applyNumberFormat="1">
      <alignment shrinkToFit="0" wrapText="1"/>
    </xf>
    <xf borderId="0" fillId="3" fontId="7" numFmtId="165" xfId="0" applyAlignment="1" applyFont="1" applyNumberFormat="1">
      <alignment readingOrder="0" shrinkToFit="0" wrapText="1"/>
    </xf>
    <xf borderId="0" fillId="3" fontId="7" numFmtId="0" xfId="0" applyAlignment="1" applyFont="1">
      <alignment horizontal="right" shrinkToFit="0" vertical="bottom" wrapText="1"/>
    </xf>
    <xf borderId="0" fillId="3" fontId="7" numFmtId="0" xfId="0" applyAlignment="1" applyFont="1">
      <alignment horizontal="right" shrinkToFit="0" wrapText="1"/>
    </xf>
    <xf borderId="0" fillId="3" fontId="7" numFmtId="3" xfId="0" applyAlignment="1" applyFont="1" applyNumberFormat="1">
      <alignment horizontal="right" shrinkToFit="0" vertical="bottom" wrapText="1"/>
    </xf>
    <xf borderId="2" fillId="6" fontId="8" numFmtId="0" xfId="0" applyAlignment="1" applyBorder="1" applyFill="1" applyFont="1">
      <alignment readingOrder="0" shrinkToFit="0" vertical="bottom" wrapText="0"/>
    </xf>
    <xf borderId="2" fillId="6" fontId="9" numFmtId="165" xfId="0" applyAlignment="1" applyBorder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9" numFmtId="165" xfId="0" applyAlignment="1" applyFont="1" applyNumberFormat="1">
      <alignment readingOrder="0" shrinkToFit="0" vertical="bottom" wrapText="0"/>
    </xf>
    <xf borderId="0" fillId="6" fontId="6" numFmtId="0" xfId="0" applyAlignment="1" applyFont="1">
      <alignment readingOrder="0" shrinkToFit="0" wrapText="1"/>
    </xf>
    <xf borderId="0" fillId="6" fontId="7" numFmtId="10" xfId="0" applyAlignment="1" applyFont="1" applyNumberFormat="1">
      <alignment shrinkToFit="0" wrapText="1"/>
    </xf>
    <xf borderId="0" fillId="6" fontId="7" numFmtId="165" xfId="0" applyAlignment="1" applyFont="1" applyNumberFormat="1">
      <alignment shrinkToFit="0" wrapText="1"/>
    </xf>
    <xf borderId="0" fillId="6" fontId="7" numFmtId="165" xfId="0" applyAlignment="1" applyFont="1" applyNumberFormat="1">
      <alignment readingOrder="0" shrinkToFit="0" wrapText="1"/>
    </xf>
    <xf borderId="0" fillId="6" fontId="7" numFmtId="168" xfId="0" applyAlignment="1" applyFont="1" applyNumberFormat="1">
      <alignment shrinkToFit="0" wrapText="1"/>
    </xf>
    <xf borderId="0" fillId="6" fontId="7" numFmtId="165" xfId="0" applyAlignment="1" applyFont="1" applyNumberFormat="1">
      <alignment horizontal="right" readingOrder="0" shrinkToFit="0" wrapText="1"/>
    </xf>
    <xf borderId="5" fillId="6" fontId="6" numFmtId="0" xfId="0" applyAlignment="1" applyBorder="1" applyFont="1">
      <alignment readingOrder="0" shrinkToFit="0" wrapText="1"/>
    </xf>
    <xf borderId="5" fillId="6" fontId="7" numFmtId="9" xfId="0" applyAlignment="1" applyBorder="1" applyFont="1" applyNumberFormat="1">
      <alignment horizontal="right" readingOrder="0" shrinkToFit="0" wrapText="1"/>
    </xf>
    <xf borderId="0" fillId="7" fontId="6" numFmtId="0" xfId="0" applyAlignment="1" applyFill="1" applyFont="1">
      <alignment readingOrder="0" shrinkToFit="0" wrapText="1"/>
    </xf>
    <xf borderId="0" fillId="7" fontId="7" numFmtId="165" xfId="0" applyAlignment="1" applyFont="1" applyNumberForma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7" fontId="7" numFmtId="165" xfId="0" applyAlignment="1" applyBorder="1" applyFont="1" applyNumberFormat="1">
      <alignment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0" xfId="0" applyAlignment="1" applyFont="1">
      <alignment horizontal="right" shrinkToFit="0" vertical="bottom" wrapText="1"/>
    </xf>
    <xf borderId="0" fillId="9" fontId="10" numFmtId="0" xfId="0" applyAlignment="1" applyFill="1" applyFont="1">
      <alignment shrinkToFit="0" vertical="bottom" wrapText="1"/>
    </xf>
    <xf borderId="0" fillId="9" fontId="7" numFmtId="0" xfId="0" applyAlignment="1" applyFont="1">
      <alignment horizontal="right" shrinkToFit="0" wrapText="1"/>
    </xf>
    <xf borderId="0" fillId="9" fontId="6" numFmtId="0" xfId="0" applyAlignment="1" applyFont="1">
      <alignment readingOrder="0" shrinkToFit="0" wrapText="1"/>
    </xf>
    <xf borderId="0" fillId="9" fontId="7" numFmtId="165" xfId="0" applyAlignment="1" applyFont="1" applyNumberFormat="1">
      <alignment shrinkToFit="0" wrapText="1"/>
    </xf>
    <xf borderId="0" fillId="9" fontId="7" numFmtId="165" xfId="0" applyAlignment="1" applyFont="1" applyNumberFormat="1">
      <alignment shrinkToFit="0" wrapText="1"/>
    </xf>
    <xf borderId="0" fillId="9" fontId="7" numFmtId="10" xfId="0" applyAlignment="1" applyFont="1" applyNumberFormat="1">
      <alignment horizontal="right" shrinkToFit="0" wrapText="1"/>
    </xf>
    <xf borderId="0" fillId="9" fontId="11" numFmtId="0" xfId="0" applyAlignment="1" applyFont="1">
      <alignment horizontal="left" readingOrder="0" shrinkToFit="0" wrapText="1"/>
    </xf>
    <xf borderId="2" fillId="10" fontId="6" numFmtId="0" xfId="0" applyAlignment="1" applyBorder="1" applyFill="1" applyFont="1">
      <alignment readingOrder="0" shrinkToFit="0" wrapText="1"/>
    </xf>
    <xf borderId="2" fillId="10" fontId="7" numFmtId="165" xfId="0" applyAlignment="1" applyBorder="1" applyFont="1" applyNumberFormat="1">
      <alignment readingOrder="0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readingOrder="0" shrinkToFit="0" wrapText="1"/>
    </xf>
    <xf borderId="0" fillId="10" fontId="7" numFmtId="9" xfId="0" applyAlignment="1" applyFont="1" applyNumberFormat="1">
      <alignment readingOrder="0" shrinkToFit="0" wrapText="1"/>
    </xf>
    <xf borderId="0" fillId="11" fontId="3" numFmtId="0" xfId="0" applyAlignment="1" applyFill="1" applyFont="1">
      <alignment horizontal="center" readingOrder="0" shrinkToFit="0" wrapText="0"/>
    </xf>
    <xf borderId="0" fillId="11" fontId="3" numFmtId="0" xfId="0" applyAlignment="1" applyFont="1">
      <alignment horizontal="center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4" fillId="13" fontId="3" numFmtId="3" xfId="0" applyAlignment="1" applyBorder="1" applyFill="1" applyFont="1" applyNumberFormat="1">
      <alignment horizontal="center" readingOrder="0" shrinkToFit="0" wrapText="1"/>
    </xf>
    <xf borderId="0" fillId="13" fontId="3" numFmtId="164" xfId="0" applyAlignment="1" applyFont="1" applyNumberFormat="1">
      <alignment horizontal="center" readingOrder="0" shrinkToFit="0" wrapText="1"/>
    </xf>
    <xf borderId="2" fillId="12" fontId="7" numFmtId="175" xfId="0" applyAlignment="1" applyBorder="1" applyFont="1" applyNumberFormat="1">
      <alignment readingOrder="0" shrinkToFit="0" wrapText="1"/>
    </xf>
    <xf borderId="0" fillId="13" fontId="3" numFmtId="168" xfId="0" applyAlignment="1" applyFont="1" applyNumberFormat="1">
      <alignment horizontal="center" readingOrder="0" shrinkToFit="0" wrapText="1"/>
    </xf>
    <xf borderId="4" fillId="5" fontId="3" numFmtId="168" xfId="0" applyAlignment="1" applyBorder="1" applyFont="1" applyNumberFormat="1">
      <alignment horizontal="center" readingOrder="0" shrinkToFit="0" wrapText="1"/>
    </xf>
    <xf borderId="0" fillId="5" fontId="3" numFmtId="0" xfId="0" applyAlignment="1" applyFont="1">
      <alignment horizontal="center" readingOrder="0" shrinkToFit="0" wrapText="1"/>
    </xf>
    <xf borderId="0" fillId="5" fontId="3" numFmtId="10" xfId="0" applyAlignment="1" applyFont="1" applyNumberFormat="1">
      <alignment horizontal="center" readingOrder="0" shrinkToFit="0" wrapText="1"/>
    </xf>
    <xf borderId="4" fillId="14" fontId="3" numFmtId="168" xfId="0" applyAlignment="1" applyBorder="1" applyFill="1" applyFont="1" applyNumberFormat="1">
      <alignment horizontal="center" readingOrder="0" shrinkToFit="0" wrapText="1"/>
    </xf>
    <xf borderId="0" fillId="14" fontId="3" numFmtId="168" xfId="0" applyAlignment="1" applyFont="1" applyNumberFormat="1">
      <alignment horizontal="center" readingOrder="0" shrinkToFit="0" wrapText="0"/>
    </xf>
    <xf borderId="0" fillId="14" fontId="3" numFmtId="168" xfId="0" applyAlignment="1" applyFont="1" applyNumberFormat="1">
      <alignment horizontal="center" readingOrder="0" shrinkToFit="0" wrapText="1"/>
    </xf>
    <xf borderId="0" fillId="14" fontId="4" numFmtId="168" xfId="0" applyAlignment="1" applyFont="1" applyNumberFormat="1">
      <alignment horizontal="center" readingOrder="0" shrinkToFit="0" vertical="bottom" wrapText="1"/>
    </xf>
    <xf borderId="3" fillId="14" fontId="3" numFmtId="168" xfId="0" applyAlignment="1" applyBorder="1" applyFont="1" applyNumberFormat="1">
      <alignment horizontal="center" readingOrder="0" shrinkToFit="0" wrapText="1"/>
    </xf>
    <xf borderId="0" fillId="11" fontId="3" numFmtId="168" xfId="0" applyAlignment="1" applyFont="1" applyNumberFormat="1">
      <alignment horizontal="center"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75" xfId="0" applyAlignment="1" applyFont="1" applyNumberFormat="1">
      <alignment readingOrder="0" shrinkToFit="0" wrapText="1"/>
    </xf>
    <xf borderId="4" fillId="5" fontId="3" numFmtId="0" xfId="0" applyAlignment="1" applyBorder="1" applyFont="1">
      <alignment horizontal="center" readingOrder="0" shrinkToFit="0" wrapText="1"/>
    </xf>
    <xf borderId="4" fillId="13" fontId="3" numFmtId="0" xfId="0" applyAlignment="1" applyBorder="1" applyFont="1">
      <alignment horizontal="center" readingOrder="0" shrinkToFit="0" wrapText="1"/>
    </xf>
    <xf borderId="0" fillId="12" fontId="7" numFmtId="165" xfId="0" applyAlignment="1" applyFont="1" applyNumberFormat="1">
      <alignment readingOrder="0" shrinkToFit="0" wrapText="1"/>
    </xf>
    <xf borderId="0" fillId="13" fontId="3" numFmtId="0" xfId="0" applyAlignment="1" applyFont="1">
      <alignment horizontal="center" readingOrder="0" shrinkToFit="0" wrapText="1"/>
    </xf>
    <xf borderId="2" fillId="6" fontId="6" numFmtId="0" xfId="0" applyAlignment="1" applyBorder="1" applyFill="1" applyFont="1">
      <alignment readingOrder="0" shrinkToFit="0" wrapText="1"/>
    </xf>
    <xf borderId="0" fillId="13" fontId="3" numFmtId="49" xfId="0" applyAlignment="1" applyFont="1" applyNumberFormat="1">
      <alignment horizontal="center" readingOrder="0" shrinkToFit="0" wrapText="1"/>
    </xf>
    <xf borderId="3" fillId="13" fontId="3" numFmtId="168" xfId="0" applyAlignment="1" applyBorder="1" applyFont="1" applyNumberFormat="1">
      <alignment horizontal="center" readingOrder="0" shrinkToFit="0" wrapText="1"/>
    </xf>
    <xf borderId="0" fillId="7" fontId="3" numFmtId="0" xfId="0" applyAlignment="1" applyFont="1">
      <alignment horizontal="center" readingOrder="0" shrinkToFit="0" wrapText="1"/>
    </xf>
    <xf borderId="2" fillId="6" fontId="7" numFmtId="168" xfId="0" applyAlignment="1" applyBorder="1" applyFont="1" applyNumberForma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7" fontId="3" numFmtId="168" xfId="0" applyAlignment="1" applyFont="1" applyNumberFormat="1">
      <alignment horizontal="center"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6" fontId="7" numFmtId="168" xfId="0" applyAlignment="1" applyFont="1" applyNumberFormat="1">
      <alignment horizontal="right" readingOrder="0" shrinkToFit="0" wrapText="1"/>
    </xf>
    <xf borderId="0" fillId="0" fontId="1" numFmtId="176" xfId="0" applyAlignment="1" applyFont="1" applyNumberFormat="1">
      <alignment readingOrder="0" shrinkToFit="0" wrapText="1"/>
    </xf>
    <xf borderId="0" fillId="0" fontId="12" numFmtId="0" xfId="0" applyAlignment="1" applyFont="1">
      <alignment horizontal="center" shrinkToFit="0" vertical="bottom" wrapText="1"/>
    </xf>
    <xf borderId="0" fillId="0" fontId="12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177" xfId="0" applyAlignment="1" applyFont="1" applyNumberFormat="1">
      <alignment shrinkToFit="0" vertical="bottom" wrapText="1"/>
    </xf>
    <xf borderId="0" fillId="6" fontId="7" numFmtId="178" xfId="0" applyAlignment="1" applyFont="1" applyNumberFormat="1">
      <alignment horizontal="right" readingOrder="0" shrinkToFit="0" wrapText="1"/>
    </xf>
    <xf borderId="4" fillId="0" fontId="2" numFmtId="3" xfId="0" applyAlignment="1" applyBorder="1" applyFont="1" applyNumberFormat="1">
      <alignment readingOrder="0" shrinkToFit="0" wrapText="1"/>
    </xf>
    <xf borderId="0" fillId="6" fontId="7" numFmtId="165" xfId="0" applyAlignment="1" applyFont="1" applyNumberFormat="1">
      <alignment horizontal="right" readingOrder="0" shrinkToFit="0" wrapText="1"/>
    </xf>
    <xf borderId="0" fillId="0" fontId="13" numFmtId="164" xfId="0" applyAlignment="1" applyFont="1" applyNumberFormat="1">
      <alignment readingOrder="0" shrinkToFit="0" wrapText="1"/>
    </xf>
    <xf borderId="0" fillId="0" fontId="2" numFmtId="168" xfId="0" applyAlignment="1" applyFont="1" applyNumberFormat="1">
      <alignment shrinkToFit="0" wrapText="1"/>
    </xf>
    <xf borderId="4" fillId="0" fontId="2" numFmtId="168" xfId="0" applyAlignment="1" applyBorder="1" applyFont="1" applyNumberFormat="1">
      <alignment shrinkToFit="0" wrapText="1"/>
    </xf>
    <xf borderId="0" fillId="6" fontId="7" numFmtId="10" xfId="0" applyAlignment="1" applyFont="1" applyNumberFormat="1">
      <alignment horizontal="right" readingOrder="0" shrinkToFit="0" wrapText="1"/>
    </xf>
    <xf borderId="0" fillId="0" fontId="2" numFmtId="1" xfId="0" applyAlignment="1" applyFont="1" applyNumberFormat="1">
      <alignment shrinkToFit="0" wrapText="0"/>
    </xf>
    <xf borderId="0" fillId="6" fontId="7" numFmtId="3" xfId="0" applyAlignment="1" applyFont="1" applyNumberForma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6" fontId="7" numFmtId="46" xfId="0" applyAlignment="1" applyFont="1" applyNumberFormat="1">
      <alignment horizontal="right" readingOrder="0" shrinkToFit="0" wrapText="1"/>
    </xf>
    <xf borderId="0" fillId="6" fontId="14" numFmtId="3" xfId="0" applyAlignment="1" applyFont="1" applyNumberFormat="1">
      <alignment horizontal="right" readingOrder="0" shrinkToFit="0" wrapText="1"/>
    </xf>
    <xf borderId="0" fillId="0" fontId="5" numFmtId="168" xfId="0" applyAlignment="1" applyFont="1" applyNumberFormat="1">
      <alignment horizontal="right" shrinkToFit="0" vertical="bottom" wrapText="1"/>
    </xf>
    <xf borderId="0" fillId="0" fontId="5" numFmtId="168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2" numFmtId="168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8" xfId="0" applyAlignment="1" applyFont="1" applyNumberFormat="1">
      <alignment shrinkToFit="0" wrapText="1"/>
    </xf>
    <xf borderId="0" fillId="0" fontId="2" numFmtId="176" xfId="0" applyAlignment="1" applyFont="1" applyNumberFormat="1">
      <alignment shrinkToFit="0" wrapText="1"/>
    </xf>
    <xf borderId="0" fillId="0" fontId="5" numFmtId="179" xfId="0" applyAlignment="1" applyFont="1" applyNumberFormat="1">
      <alignment horizontal="right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5" numFmtId="165" xfId="0" applyAlignment="1" applyFont="1" applyNumberFormat="1">
      <alignment horizontal="right" readingOrder="0" shrinkToFit="0" vertical="bottom" wrapText="1"/>
    </xf>
    <xf borderId="0" fillId="0" fontId="5" numFmtId="165" xfId="0" applyAlignment="1" applyFont="1" applyNumberFormat="1">
      <alignment horizontal="right" shrinkToFit="0" vertical="bottom" wrapText="1"/>
    </xf>
    <xf borderId="0" fillId="0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3" fillId="0" fontId="5" numFmtId="0" xfId="0" applyAlignment="1" applyBorder="1" applyFont="1">
      <alignment horizontal="right" shrinkToFit="0" vertical="bottom" wrapText="1"/>
    </xf>
    <xf borderId="0" fillId="0" fontId="2" numFmtId="180" xfId="0" applyAlignment="1" applyFont="1" applyNumberFormat="1">
      <alignment shrinkToFit="0" wrapText="1"/>
    </xf>
    <xf borderId="4" fillId="0" fontId="5" numFmtId="164" xfId="0" applyAlignment="1" applyBorder="1" applyFont="1" applyNumberForma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4" fillId="0" fontId="2" numFmtId="168" xfId="0" applyAlignment="1" applyBorder="1" applyFont="1" applyNumberFormat="1">
      <alignment readingOrder="0" shrinkToFit="0" wrapText="1"/>
    </xf>
    <xf borderId="0" fillId="0" fontId="5" numFmtId="166" xfId="0" applyAlignment="1" applyFont="1" applyNumberFormat="1">
      <alignment horizontal="right" readingOrder="0" shrinkToFit="0" vertical="bottom" wrapText="1"/>
    </xf>
    <xf borderId="4" fillId="0" fontId="5" numFmtId="179" xfId="0" applyAlignment="1" applyBorder="1" applyFont="1" applyNumberFormat="1">
      <alignment horizontal="right" readingOrder="0" shrinkToFit="0" vertical="bottom" wrapText="1"/>
    </xf>
    <xf borderId="0" fillId="0" fontId="5" numFmtId="49" xfId="0" applyAlignment="1" applyFont="1" applyNumberFormat="1">
      <alignment horizontal="right" readingOrder="0" shrinkToFit="0" vertical="bottom" wrapText="1"/>
    </xf>
    <xf borderId="3" fillId="0" fontId="2" numFmtId="168" xfId="0" applyAlignment="1" applyBorder="1" applyFont="1" applyNumberFormat="1">
      <alignment shrinkToFit="0" wrapText="1"/>
    </xf>
    <xf borderId="0" fillId="7" fontId="1" numFmtId="176" xfId="0" applyAlignment="1" applyFont="1" applyNumberFormat="1">
      <alignment shrinkToFit="0" wrapText="1"/>
    </xf>
    <xf borderId="0" fillId="7" fontId="1" numFmtId="10" xfId="0" applyAlignment="1" applyFont="1" applyNumberFormat="1">
      <alignment shrinkToFit="0" wrapText="1"/>
    </xf>
    <xf borderId="0" fillId="7" fontId="1" numFmtId="168" xfId="0" applyAlignment="1" applyFont="1" applyNumberFormat="1">
      <alignment shrinkToFit="0" wrapText="1"/>
    </xf>
    <xf borderId="0" fillId="7" fontId="1" numFmtId="168" xfId="0" applyAlignment="1" applyFont="1" applyNumberFormat="1">
      <alignment horizontal="right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5" fillId="0" fontId="13" numFmtId="164" xfId="0" applyAlignment="1" applyBorder="1" applyFont="1" applyNumberFormat="1">
      <alignment readingOrder="0" shrinkToFit="0" wrapText="1"/>
    </xf>
    <xf borderId="0" fillId="0" fontId="12" numFmtId="168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0"/>
    </xf>
    <xf borderId="2" fillId="0" fontId="15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readingOrder="0" shrinkToFit="0" wrapText="1"/>
    </xf>
    <xf borderId="2" fillId="15" fontId="13" numFmtId="181" xfId="0" applyAlignment="1" applyBorder="1" applyFill="1" applyFont="1" applyNumberFormat="1">
      <alignment shrinkToFit="0" wrapText="1"/>
    </xf>
    <xf borderId="2" fillId="0" fontId="13" numFmtId="164" xfId="0" applyAlignment="1" applyBorder="1" applyFont="1" applyNumberFormat="1">
      <alignment readingOrder="0" shrinkToFit="0" wrapText="0"/>
    </xf>
    <xf borderId="0" fillId="0" fontId="13" numFmtId="164" xfId="0" applyAlignment="1" applyFont="1" applyNumberFormat="1">
      <alignment readingOrder="0" shrinkToFit="0" wrapText="0"/>
    </xf>
    <xf borderId="2" fillId="0" fontId="1" numFmtId="168" xfId="0" applyAlignment="1" applyBorder="1" applyFont="1" applyNumberFormat="1">
      <alignment shrinkToFit="0" wrapText="1"/>
    </xf>
    <xf borderId="6" fillId="0" fontId="1" numFmtId="168" xfId="0" applyAlignment="1" applyBorder="1" applyFont="1" applyNumberFormat="1">
      <alignment shrinkToFit="0" wrapText="1"/>
    </xf>
    <xf borderId="2" fillId="0" fontId="15" numFmtId="168" xfId="0" applyAlignment="1" applyBorder="1" applyFont="1" applyNumberFormat="1">
      <alignment shrinkToFit="0" wrapText="1"/>
    </xf>
    <xf borderId="2" fillId="0" fontId="2" numFmtId="168" xfId="0" applyAlignment="1" applyBorder="1" applyFont="1" applyNumberFormat="1">
      <alignment shrinkToFit="0" wrapText="1"/>
    </xf>
    <xf borderId="2" fillId="0" fontId="12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2" numFmtId="168" xfId="0" applyAlignment="1" applyBorder="1" applyFont="1" applyNumberFormat="1">
      <alignment horizontal="right" shrinkToFit="0" vertical="bottom" wrapText="1"/>
    </xf>
    <xf borderId="6" fillId="0" fontId="12" numFmtId="168" xfId="0" applyAlignment="1" applyBorder="1" applyFont="1" applyNumberFormat="1">
      <alignment horizontal="right" shrinkToFit="0" vertical="bottom" wrapText="1"/>
    </xf>
    <xf borderId="2" fillId="0" fontId="12" numFmtId="168" xfId="0" applyAlignment="1" applyBorder="1" applyFont="1" applyNumberFormat="1">
      <alignment horizontal="right" shrinkToFit="0" vertical="bottom" wrapText="1"/>
    </xf>
    <xf borderId="2" fillId="0" fontId="12" numFmtId="10" xfId="0" applyAlignment="1" applyBorder="1" applyFont="1" applyNumberFormat="1">
      <alignment horizontal="right" shrinkToFit="0" vertical="bottom" wrapText="1"/>
    </xf>
    <xf borderId="6" fillId="0" fontId="2" numFmtId="168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5" numFmtId="46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1" fillId="0" fontId="12" numFmtId="168" xfId="0" applyAlignment="1" applyBorder="1" applyFont="1" applyNumberFormat="1">
      <alignment horizontal="right" shrinkToFit="0" vertical="bottom" wrapText="1"/>
    </xf>
    <xf borderId="2" fillId="7" fontId="1" numFmtId="10" xfId="0" applyAlignment="1" applyBorder="1" applyFont="1" applyNumberFormat="1">
      <alignment shrinkToFit="0" wrapText="1"/>
    </xf>
    <xf borderId="2" fillId="7" fontId="1" numFmtId="168" xfId="0" applyAlignment="1" applyBorder="1" applyFont="1" applyNumberFormat="1">
      <alignment shrinkToFit="0" wrapText="1"/>
    </xf>
    <xf borderId="2" fillId="7" fontId="1" numFmtId="168" xfId="0" applyAlignment="1" applyBorder="1" applyFont="1" applyNumberFormat="1">
      <alignment horizontal="right" shrinkToFit="0" wrapText="1"/>
    </xf>
    <xf borderId="0" fillId="0" fontId="5" numFmtId="179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shrinkToFit="0" vertical="bottom" wrapText="1"/>
    </xf>
    <xf borderId="0" fillId="16" fontId="5" numFmtId="10" xfId="0" applyAlignment="1" applyFill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 readingOrder="0" shrinkToFit="0" vertical="bottom" wrapText="1"/>
    </xf>
    <xf borderId="0" fillId="16" fontId="5" numFmtId="10" xfId="0" applyAlignment="1" applyFont="1" applyNumberFormat="1">
      <alignment horizontal="right" readingOrder="0" shrinkToFit="0" vertical="bottom" wrapText="1"/>
    </xf>
    <xf borderId="0" fillId="15" fontId="18" numFmtId="10" xfId="0" applyAlignment="1" applyFont="1" applyNumberFormat="1">
      <alignment horizontal="right" readingOrder="0" shrinkToFit="0" vertical="bottom" wrapText="1"/>
    </xf>
    <xf borderId="0" fillId="17" fontId="18" numFmtId="10" xfId="0" applyAlignment="1" applyFill="1" applyFont="1" applyNumberFormat="1">
      <alignment horizontal="right" readingOrder="0" shrinkToFit="0" vertical="bottom" wrapText="1"/>
    </xf>
    <xf borderId="0" fillId="15" fontId="18" numFmtId="165" xfId="0" applyAlignment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0" fillId="0" fontId="2" numFmtId="179" xfId="0" applyAlignment="1" applyFont="1" applyNumberFormat="1">
      <alignment readingOrder="0" shrinkToFit="0" wrapText="1"/>
    </xf>
    <xf borderId="0" fillId="0" fontId="13" numFmtId="165" xfId="0" applyAlignment="1" applyFont="1" applyNumberFormat="1">
      <alignment readingOrder="0" shrinkToFit="0" wrapText="1"/>
    </xf>
    <xf borderId="0" fillId="0" fontId="5" numFmtId="165" xfId="0" applyAlignment="1" applyFont="1" applyNumberFormat="1">
      <alignment horizontal="right" shrinkToFit="0" wrapText="1"/>
    </xf>
    <xf borderId="0" fillId="0" fontId="13" numFmtId="165" xfId="0" applyAlignment="1" applyFont="1" applyNumberFormat="1">
      <alignment shrinkToFit="0" wrapText="1"/>
    </xf>
    <xf borderId="0" fillId="0" fontId="5" numFmtId="10" xfId="0" applyAlignment="1" applyFont="1" applyNumberFormat="1">
      <alignment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1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19" numFmtId="0" xfId="0" applyAlignment="1" applyBorder="1" applyFont="1">
      <alignment horizontal="center" readingOrder="0" shrinkToFit="0" vertical="bottom" wrapText="1"/>
    </xf>
    <xf borderId="2" fillId="0" fontId="21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8" xfId="0" applyAlignment="1" applyFont="1" applyNumberFormat="1">
      <alignment readingOrder="0" shrinkToFit="0" wrapText="1"/>
    </xf>
    <xf borderId="0" fillId="0" fontId="1" numFmtId="168" xfId="0" applyAlignment="1" applyFont="1" applyNumberFormat="1">
      <alignment shrinkToFit="0" wrapText="1"/>
    </xf>
    <xf borderId="2" fillId="0" fontId="20" numFmtId="0" xfId="0" applyAlignment="1" applyBorder="1" applyFont="1">
      <alignment horizontal="left" readingOrder="0" shrinkToFit="0" wrapText="1"/>
    </xf>
    <xf borderId="2" fillId="0" fontId="2" numFmtId="168" xfId="0" applyAlignment="1" applyBorder="1" applyFont="1" applyNumberFormat="1">
      <alignment readingOrder="0" shrinkToFit="0" wrapText="1"/>
    </xf>
    <xf borderId="4" fillId="3" fontId="3" numFmtId="0" xfId="0" applyAlignment="1" applyBorder="1" applyFont="1">
      <alignment horizontal="center" readingOrder="0" shrinkToFit="0" wrapText="1"/>
    </xf>
    <xf borderId="4" fillId="0" fontId="5" numFmtId="165" xfId="0" applyAlignment="1" applyBorder="1" applyFont="1" applyNumberFormat="1">
      <alignment horizontal="right" readingOrder="0" shrinkToFit="0" vertical="bottom" wrapText="1"/>
    </xf>
    <xf borderId="0" fillId="0" fontId="12" numFmtId="165" xfId="0" applyAlignment="1" applyFont="1" applyNumberFormat="1">
      <alignment horizontal="right" readingOrder="0" shrinkToFit="0" vertical="bottom" wrapText="1"/>
    </xf>
    <xf borderId="0" fillId="18" fontId="4" numFmtId="0" xfId="0" applyAlignment="1" applyFill="1" applyFont="1">
      <alignment horizontal="center" readingOrder="0" shrinkToFit="0" vertical="bottom" wrapText="1"/>
    </xf>
    <xf borderId="0" fillId="0" fontId="5" numFmtId="182" xfId="0" applyAlignment="1" applyFont="1" applyNumberFormat="1">
      <alignment horizontal="right" readingOrder="0" shrinkToFit="0" vertical="bottom" wrapText="1"/>
    </xf>
    <xf borderId="0" fillId="4" fontId="18" numFmtId="165" xfId="0" applyAlignment="1" applyFont="1" applyNumberFormat="1">
      <alignment horizontal="right" readingOrder="0" shrinkToFit="0" wrapText="1"/>
    </xf>
    <xf borderId="0" fillId="18" fontId="4" numFmtId="183" xfId="0" applyAlignment="1" applyFont="1" applyNumberFormat="1">
      <alignment horizontal="center" readingOrder="0" shrinkToFit="0" vertical="bottom" wrapText="1"/>
    </xf>
    <xf borderId="0" fillId="15" fontId="5" numFmtId="179" xfId="0" applyAlignment="1" applyFont="1" applyNumberFormat="1">
      <alignment horizontal="right" readingOrder="0" shrinkToFit="0" vertical="bottom" wrapText="1"/>
    </xf>
    <xf borderId="0" fillId="15" fontId="2" numFmtId="0" xfId="0" applyAlignment="1" applyFont="1">
      <alignment readingOrder="0" shrinkToFit="0" wrapText="1"/>
    </xf>
    <xf borderId="0" fillId="15" fontId="5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15" fontId="5" numFmtId="179" xfId="0" applyAlignment="1" applyFont="1" applyNumberFormat="1">
      <alignment horizontal="right" shrinkToFit="0" vertical="bottom" wrapText="1"/>
    </xf>
    <xf borderId="0" fillId="15" fontId="5" numFmtId="0" xfId="0" applyAlignment="1" applyFont="1">
      <alignment shrinkToFit="0" vertical="bottom" wrapText="1"/>
    </xf>
    <xf borderId="0" fillId="0" fontId="5" numFmtId="165" xfId="0" applyAlignment="1" applyFont="1" applyNumberFormat="1">
      <alignment shrinkToFit="0" vertical="bottom" wrapText="1"/>
    </xf>
    <xf borderId="0" fillId="15" fontId="2" numFmtId="0" xfId="0" applyAlignment="1" applyFont="1">
      <alignment readingOrder="0" shrinkToFit="0" wrapText="1"/>
    </xf>
    <xf borderId="0" fillId="0" fontId="22" numFmtId="165" xfId="0" applyAlignment="1" applyFont="1" applyNumberFormat="1">
      <alignment readingOrder="0" shrinkToFit="0" wrapText="1"/>
    </xf>
    <xf borderId="0" fillId="0" fontId="5" numFmtId="168" xfId="0" applyAlignment="1" applyFont="1" applyNumberFormat="1">
      <alignment horizontal="center" readingOrder="0" shrinkToFit="0" vertical="bottom" wrapText="1"/>
    </xf>
    <xf borderId="0" fillId="0" fontId="5" numFmtId="168" xfId="0" applyAlignment="1" applyFont="1" applyNumberFormat="1">
      <alignment horizontal="right" readingOrder="0" shrinkToFit="0" vertical="bottom" wrapText="1"/>
    </xf>
    <xf borderId="0" fillId="0" fontId="5" numFmtId="3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0" fillId="3" fontId="4" numFmtId="0" xfId="0" applyAlignment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bottom" wrapText="1"/>
    </xf>
    <xf borderId="0" fillId="19" fontId="5" numFmtId="164" xfId="0" applyAlignment="1" applyFill="1" applyFont="1" applyNumberFormat="1">
      <alignment horizontal="right" shrinkToFit="0" vertical="bottom" wrapText="1"/>
    </xf>
    <xf borderId="3" fillId="0" fontId="5" numFmtId="164" xfId="0" applyAlignment="1" applyBorder="1" applyFont="1" applyNumberFormat="1">
      <alignment horizontal="right" shrinkToFit="0" vertical="bottom" wrapText="1"/>
    </xf>
    <xf borderId="4" fillId="0" fontId="5" numFmtId="10" xfId="0" applyAlignment="1" applyBorder="1" applyFont="1" applyNumberFormat="1">
      <alignment horizontal="right" shrinkToFit="0" vertical="bottom" wrapText="1"/>
    </xf>
    <xf borderId="0" fillId="19" fontId="5" numFmtId="164" xfId="0" applyAlignment="1" applyFont="1" applyNumberFormat="1">
      <alignment horizontal="right" readingOrder="0" shrinkToFit="0" vertical="bottom" wrapText="1"/>
    </xf>
    <xf borderId="3" fillId="0" fontId="5" numFmtId="164" xfId="0" applyAlignment="1" applyBorder="1" applyFont="1" applyNumberFormat="1">
      <alignment horizontal="right" readingOrder="0" shrinkToFit="0" vertical="bottom" wrapText="1"/>
    </xf>
    <xf borderId="4" fillId="0" fontId="5" numFmtId="10" xfId="0" applyAlignment="1" applyBorder="1" applyFont="1" applyNumberFormat="1">
      <alignment horizontal="right" readingOrder="0" shrinkToFit="0" vertical="bottom" wrapText="1"/>
    </xf>
    <xf borderId="0" fillId="20" fontId="18" numFmtId="164" xfId="0" applyAlignment="1" applyFill="1" applyFont="1" applyNumberFormat="1">
      <alignment horizontal="right" readingOrder="0" shrinkToFit="0" vertical="bottom" wrapText="1"/>
    </xf>
    <xf borderId="0" fillId="4" fontId="18" numFmtId="164" xfId="0" applyAlignment="1" applyFont="1" applyNumberFormat="1">
      <alignment horizontal="right" readingOrder="0" shrinkToFit="0" vertical="bottom" wrapText="1"/>
    </xf>
    <xf borderId="0" fillId="15" fontId="18" numFmtId="164" xfId="0" applyAlignment="1" applyFont="1" applyNumberFormat="1">
      <alignment horizontal="right" readingOrder="0" shrinkToFit="0" vertical="bottom" wrapText="1"/>
    </xf>
    <xf borderId="4" fillId="4" fontId="23" numFmtId="10" xfId="0" applyAlignment="1" applyBorder="1" applyFont="1" applyNumberFormat="1">
      <alignment horizontal="right" readingOrder="0" shrinkToFit="0" vertical="bottom" wrapText="1"/>
    </xf>
    <xf borderId="0" fillId="21" fontId="23" numFmtId="10" xfId="0" applyAlignment="1" applyFill="1" applyFont="1" applyNumberFormat="1">
      <alignment horizontal="right" readingOrder="0" shrinkToFit="0" vertical="bottom" wrapText="1"/>
    </xf>
    <xf borderId="0" fillId="4" fontId="23" numFmtId="10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24" numFmtId="165" xfId="0" applyAlignment="1" applyFont="1" applyNumberFormat="1">
      <alignment readingOrder="0" shrinkToFit="0" wrapText="1"/>
    </xf>
    <xf borderId="0" fillId="22" fontId="5" numFmtId="165" xfId="0" applyAlignment="1" applyFill="1" applyFont="1" applyNumberFormat="1">
      <alignment shrinkToFit="0" vertical="bottom" wrapText="0"/>
    </xf>
    <xf borderId="0" fillId="22" fontId="5" numFmtId="0" xfId="0" applyAlignment="1" applyFont="1">
      <alignment horizontal="right" shrinkToFit="0" vertical="bottom" wrapText="1"/>
    </xf>
    <xf borderId="3" fillId="22" fontId="5" numFmtId="0" xfId="0" applyAlignment="1" applyBorder="1" applyFont="1">
      <alignment horizontal="right" shrinkToFit="0" vertical="bottom" wrapText="1"/>
    </xf>
    <xf borderId="4" fillId="22" fontId="5" numFmtId="164" xfId="0" applyAlignment="1" applyBorder="1" applyFont="1" applyNumberFormat="1">
      <alignment horizontal="right" shrinkToFit="0" vertical="bottom" wrapText="1"/>
    </xf>
    <xf borderId="3" fillId="22" fontId="5" numFmtId="164" xfId="0" applyAlignment="1" applyBorder="1" applyFont="1" applyNumberFormat="1">
      <alignment horizontal="right" shrinkToFit="0" vertical="bottom" wrapText="1"/>
    </xf>
    <xf borderId="0" fillId="22" fontId="5" numFmtId="165" xfId="0" applyAlignment="1" applyFont="1" applyNumberFormat="1">
      <alignment horizontal="right" shrinkToFit="0" vertical="bottom" wrapText="1"/>
    </xf>
    <xf borderId="0" fillId="23" fontId="5" numFmtId="0" xfId="0" applyAlignment="1" applyFill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shrinkToFit="0" wrapText="1"/>
    </xf>
    <xf borderId="0" fillId="0" fontId="5" numFmtId="3" xfId="0" applyAlignment="1" applyFont="1" applyNumberFormat="1">
      <alignment horizontal="right" shrinkToFit="0" vertical="bottom" wrapText="1"/>
    </xf>
    <xf borderId="0" fillId="0" fontId="5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24" fontId="5" numFmtId="165" xfId="0" applyAlignment="1" applyFill="1" applyFont="1" applyNumberFormat="1">
      <alignment shrinkToFit="0" vertical="bottom" wrapText="0"/>
    </xf>
    <xf borderId="0" fillId="24" fontId="5" numFmtId="0" xfId="0" applyAlignment="1" applyFont="1">
      <alignment horizontal="right" shrinkToFit="0" vertical="bottom" wrapText="1"/>
    </xf>
    <xf borderId="3" fillId="24" fontId="5" numFmtId="0" xfId="0" applyAlignment="1" applyBorder="1" applyFont="1">
      <alignment horizontal="right" shrinkToFit="0" vertical="bottom" wrapText="1"/>
    </xf>
    <xf borderId="4" fillId="24" fontId="5" numFmtId="164" xfId="0" applyAlignment="1" applyBorder="1" applyFont="1" applyNumberFormat="1">
      <alignment horizontal="right" shrinkToFit="0" vertical="bottom" wrapText="1"/>
    </xf>
    <xf borderId="3" fillId="24" fontId="5" numFmtId="164" xfId="0" applyAlignment="1" applyBorder="1" applyFont="1" applyNumberFormat="1">
      <alignment horizontal="right" shrinkToFit="0" vertical="bottom" wrapText="1"/>
    </xf>
    <xf borderId="0" fillId="24" fontId="5" numFmtId="165" xfId="0" applyAlignment="1" applyFont="1" applyNumberFormat="1">
      <alignment horizontal="right" shrinkToFit="0" vertical="bottom" wrapText="1"/>
    </xf>
    <xf borderId="0" fillId="25" fontId="5" numFmtId="165" xfId="0" applyAlignment="1" applyFill="1" applyFont="1" applyNumberFormat="1">
      <alignment shrinkToFit="0" vertical="bottom" wrapText="0"/>
    </xf>
    <xf borderId="0" fillId="25" fontId="5" numFmtId="0" xfId="0" applyAlignment="1" applyFont="1">
      <alignment horizontal="right" shrinkToFit="0" vertical="bottom" wrapText="1"/>
    </xf>
    <xf borderId="3" fillId="25" fontId="5" numFmtId="0" xfId="0" applyAlignment="1" applyBorder="1" applyFont="1">
      <alignment horizontal="right" shrinkToFit="0" vertical="bottom" wrapText="1"/>
    </xf>
    <xf borderId="4" fillId="25" fontId="5" numFmtId="164" xfId="0" applyAlignment="1" applyBorder="1" applyFont="1" applyNumberFormat="1">
      <alignment horizontal="right" shrinkToFit="0" vertical="bottom" wrapText="1"/>
    </xf>
    <xf borderId="3" fillId="25" fontId="5" numFmtId="164" xfId="0" applyAlignment="1" applyBorder="1" applyFont="1" applyNumberFormat="1">
      <alignment horizontal="right" shrinkToFit="0" vertical="bottom" wrapText="1"/>
    </xf>
    <xf borderId="0" fillId="25" fontId="5" numFmtId="165" xfId="0" applyAlignment="1" applyFont="1" applyNumberFormat="1">
      <alignment horizontal="right" shrinkToFit="0" vertical="bottom" wrapText="1"/>
    </xf>
    <xf borderId="0" fillId="0" fontId="5" numFmtId="3" xfId="0" applyAlignment="1" applyFont="1" applyNumberFormat="1">
      <alignment shrinkToFit="0" vertical="bottom" wrapText="1"/>
    </xf>
    <xf borderId="0" fillId="0" fontId="2" numFmtId="0" xfId="0" applyAlignment="1" applyFont="1">
      <alignment readingOrder="0" shrinkToFit="0" wrapText="0"/>
    </xf>
    <xf borderId="4" fillId="0" fontId="5" numFmtId="165" xfId="0" applyAlignment="1" applyBorder="1" applyFont="1" applyNumberForma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readingOrder="0" shrinkToFit="0" wrapText="0"/>
    </xf>
    <xf borderId="0" fillId="16" fontId="5" numFmtId="179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shrinkToFit="0" wrapText="1"/>
    </xf>
    <xf borderId="0" fillId="16" fontId="2" numFmtId="0" xfId="0" applyAlignment="1" applyFont="1">
      <alignment shrinkToFit="0" wrapText="0"/>
    </xf>
    <xf borderId="0" fillId="16" fontId="2" numFmtId="0" xfId="0" applyAlignment="1" applyFont="1">
      <alignment readingOrder="0" shrinkToFit="0" wrapText="1"/>
    </xf>
    <xf borderId="0" fillId="16" fontId="2" numFmtId="164" xfId="0" applyAlignment="1" applyFont="1" applyNumberFormat="1">
      <alignment readingOrder="0" shrinkToFit="0" wrapText="1"/>
    </xf>
    <xf borderId="0" fillId="16" fontId="5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5" numFmtId="179" xfId="0" applyAlignment="1" applyFont="1" applyNumberFormat="1">
      <alignment horizontal="right" readingOrder="0" shrinkToFit="0" vertical="bottom" wrapText="1"/>
    </xf>
    <xf borderId="0" fillId="18" fontId="2" numFmtId="179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5" numFmtId="165" xfId="0" applyAlignment="1" applyFont="1" applyNumberFormat="1">
      <alignment horizontal="right" readingOrder="0" shrinkToFit="0" vertical="bottom" wrapText="1"/>
    </xf>
    <xf borderId="0" fillId="18" fontId="2" numFmtId="17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15" fontId="18" numFmtId="0" xfId="0" applyAlignment="1" applyFont="1">
      <alignment horizontal="left" readingOrder="0" shrinkToFit="0" wrapText="1"/>
    </xf>
    <xf borderId="0" fillId="16" fontId="2" numFmtId="0" xfId="0" applyAlignment="1" applyFont="1">
      <alignment readingOrder="0" shrinkToFit="0" wrapText="0"/>
    </xf>
    <xf borderId="0" fillId="16" fontId="2" numFmtId="179" xfId="0" applyAlignment="1" applyFont="1" applyNumberForma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wrapText="0"/>
    </xf>
    <xf borderId="0" fillId="0" fontId="2" numFmtId="179" xfId="0" applyAlignment="1" applyFont="1" applyNumberFormat="1">
      <alignment readingOrder="0" shrinkToFit="0" wrapText="0"/>
    </xf>
    <xf borderId="0" fillId="15" fontId="25" numFmtId="0" xfId="0" applyAlignment="1" applyFont="1">
      <alignment shrinkToFit="0" vertical="bottom" wrapText="1"/>
    </xf>
    <xf borderId="0" fillId="15" fontId="18" numFmtId="0" xfId="0" applyAlignment="1" applyFont="1">
      <alignment horizontal="left" readingOrder="0" shrinkToFit="0" vertical="bottom" wrapText="0"/>
    </xf>
    <xf borderId="0" fillId="15" fontId="18" numFmtId="0" xfId="0" applyAlignment="1" applyFont="1">
      <alignment horizontal="left" readingOrder="0" shrinkToFit="0" vertical="bottom" wrapText="1"/>
    </xf>
    <xf borderId="0" fillId="10" fontId="2" numFmtId="179" xfId="0" applyAlignment="1" applyFont="1" applyNumberFormat="1">
      <alignment readingOrder="0" shrinkToFit="0" wrapText="1"/>
    </xf>
    <xf borderId="0" fillId="10" fontId="2" numFmtId="179" xfId="0" applyAlignment="1" applyFont="1" applyNumberFormat="1">
      <alignment readingOrder="0" shrinkToFit="0" wrapText="0"/>
    </xf>
    <xf borderId="0" fillId="10" fontId="2" numFmtId="0" xfId="0" applyAlignment="1" applyFont="1">
      <alignment readingOrder="0" shrinkToFit="0" wrapText="1"/>
    </xf>
    <xf borderId="0" fillId="0" fontId="2" numFmtId="184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</cellXfs>
  <cellStyles count="1">
    <cellStyle xfId="0" name="Normal" builtinId="0"/>
  </cellStyles>
  <dxfs count="19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9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0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1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12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3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A2" s="4" t="s">
        <v>7</v>
      </c>
      <c r="B2" s="5" t="s">
        <v>8</v>
      </c>
      <c r="C2" s="5" t="s">
        <v>10</v>
      </c>
      <c r="D2" s="5" t="s">
        <v>12</v>
      </c>
      <c r="E2" s="5" t="s">
        <v>13</v>
      </c>
      <c r="F2" s="5" t="s">
        <v>14</v>
      </c>
    </row>
    <row r="3">
      <c r="A3" s="4" t="s">
        <v>15</v>
      </c>
      <c r="B3" s="5" t="s">
        <v>19</v>
      </c>
      <c r="C3" s="5" t="s">
        <v>21</v>
      </c>
      <c r="D3" s="5" t="s">
        <v>22</v>
      </c>
      <c r="E3" s="9" t="s">
        <v>23</v>
      </c>
      <c r="F3" s="5" t="s">
        <v>25</v>
      </c>
    </row>
    <row r="4">
      <c r="A4" s="4" t="s">
        <v>26</v>
      </c>
      <c r="B4" s="5" t="s">
        <v>27</v>
      </c>
      <c r="C4" s="5" t="s">
        <v>28</v>
      </c>
      <c r="D4" s="5" t="s">
        <v>29</v>
      </c>
      <c r="E4" s="5" t="s">
        <v>31</v>
      </c>
      <c r="F4" s="5" t="s">
        <v>33</v>
      </c>
    </row>
    <row r="5">
      <c r="A5" s="4" t="s">
        <v>34</v>
      </c>
      <c r="B5" s="5" t="s">
        <v>35</v>
      </c>
      <c r="C5" s="5" t="s">
        <v>36</v>
      </c>
      <c r="D5" s="5" t="s">
        <v>37</v>
      </c>
      <c r="E5" s="9" t="s">
        <v>38</v>
      </c>
      <c r="F5" s="5" t="s">
        <v>39</v>
      </c>
    </row>
    <row r="6">
      <c r="A6" s="4" t="s">
        <v>40</v>
      </c>
      <c r="B6" s="9" t="s">
        <v>41</v>
      </c>
      <c r="C6" s="9" t="s">
        <v>42</v>
      </c>
      <c r="D6" s="9" t="s">
        <v>43</v>
      </c>
      <c r="E6" s="9" t="s">
        <v>44</v>
      </c>
      <c r="F6" s="9" t="s">
        <v>45</v>
      </c>
    </row>
    <row r="7">
      <c r="A7" s="11" t="s">
        <v>46</v>
      </c>
      <c r="B7" s="11" t="s">
        <v>47</v>
      </c>
      <c r="C7" s="11" t="s">
        <v>48</v>
      </c>
      <c r="D7" s="11" t="s">
        <v>49</v>
      </c>
      <c r="E7" s="11" t="s">
        <v>50</v>
      </c>
      <c r="F7" s="11" t="s">
        <v>36</v>
      </c>
    </row>
    <row r="8">
      <c r="A8" s="5" t="s">
        <v>29</v>
      </c>
      <c r="B8" s="5" t="s">
        <v>27</v>
      </c>
      <c r="C8" s="5" t="s">
        <v>28</v>
      </c>
      <c r="D8" s="9" t="s">
        <v>49</v>
      </c>
      <c r="E8" s="5" t="s">
        <v>31</v>
      </c>
      <c r="F8" s="5" t="s">
        <v>36</v>
      </c>
    </row>
    <row r="9" hidden="1">
      <c r="A9" s="4" t="str">
        <f t="shared" ref="A9:A15" si="1">A1</f>
        <v>Savings</v>
      </c>
      <c r="B9" s="23">
        <f>MATCH(B1,Dashboard!$A:$A,0)</f>
        <v>1</v>
      </c>
      <c r="C9" s="23">
        <f>MATCH(C1,Dashboard!$A:$A,0)</f>
        <v>18</v>
      </c>
      <c r="D9" s="23">
        <f>MATCH(D1,Dashboard!$A:$A,0)</f>
        <v>29</v>
      </c>
      <c r="E9" s="23">
        <f>MATCH(E1,Dashboard!$A:$A,0)</f>
        <v>30</v>
      </c>
      <c r="F9" s="23">
        <f>MATCH(F1,Dashboard!$A:$A,0)</f>
        <v>31</v>
      </c>
    </row>
    <row r="10" hidden="1">
      <c r="A10" s="4" t="str">
        <f t="shared" si="1"/>
        <v>Expenses</v>
      </c>
      <c r="B10" s="23">
        <f>MATCH(B2,Dashboard!$A:$A,0)</f>
        <v>16</v>
      </c>
      <c r="C10" s="23">
        <f>MATCH(C2,Dashboard!$A:$A,0)</f>
        <v>14</v>
      </c>
      <c r="D10" s="23">
        <f>MATCH(D2,Dashboard!$A:$A,0)</f>
        <v>17</v>
      </c>
      <c r="E10" s="23">
        <f>MATCH(E2,Dashboard!$A:$A,0)</f>
        <v>20</v>
      </c>
      <c r="F10" s="23">
        <f>MATCH(F2,Dashboard!$A:$A,0)</f>
        <v>56</v>
      </c>
    </row>
    <row r="11" hidden="1">
      <c r="A11" s="4" t="str">
        <f t="shared" si="1"/>
        <v>Account</v>
      </c>
      <c r="B11" s="23">
        <f>MATCH(B3,Dashboard!$A:$A,0)</f>
        <v>45</v>
      </c>
      <c r="C11" s="23">
        <f>MATCH(C3,Dashboard!$A:$A,0)</f>
        <v>47</v>
      </c>
      <c r="D11" s="23">
        <f>MATCH(D3,Dashboard!$A:$A,0)</f>
        <v>46</v>
      </c>
      <c r="E11" s="23">
        <f>MATCH(E3,Dashboard!$A:$A,0)</f>
        <v>24</v>
      </c>
      <c r="F11" s="23">
        <f>MATCH(F3,Dashboard!$A:$A,0)</f>
        <v>23</v>
      </c>
    </row>
    <row r="12" hidden="1">
      <c r="A12" s="4" t="str">
        <f t="shared" si="1"/>
        <v>Portfolio</v>
      </c>
      <c r="B12" s="23">
        <f>MATCH(B4,Dashboard!$A:$A,0)</f>
        <v>34</v>
      </c>
      <c r="C12" s="23">
        <f>MATCH(C4,Dashboard!$A:$A,0)</f>
        <v>35</v>
      </c>
      <c r="D12" s="23">
        <f>MATCH(D4,Dashboard!$A:$A,0)</f>
        <v>36</v>
      </c>
      <c r="E12" s="23">
        <f>MATCH(E4,Dashboard!$A:$A,0)</f>
        <v>37</v>
      </c>
      <c r="F12" s="23">
        <f>MATCH(F4,Dashboard!$A:$A,0)</f>
        <v>38</v>
      </c>
    </row>
    <row r="13" hidden="1">
      <c r="A13" s="4" t="str">
        <f t="shared" si="1"/>
        <v>Allocations</v>
      </c>
      <c r="B13" s="23">
        <f>MATCH(B5,Dashboard!$A:$A,0)</f>
        <v>48</v>
      </c>
      <c r="C13" s="23">
        <f>MATCH(C5,Dashboard!$A:$A,0)</f>
        <v>50</v>
      </c>
      <c r="D13" s="23">
        <f>MATCH(D5,Dashboard!$A:$A,0)</f>
        <v>51</v>
      </c>
      <c r="E13" s="23">
        <f>MATCH(E5,Dashboard!$A:$A,0)</f>
        <v>49</v>
      </c>
      <c r="F13" s="23">
        <f>MATCH(F5,Dashboard!$A:$A,0)</f>
        <v>55</v>
      </c>
    </row>
    <row r="14" hidden="1">
      <c r="A14" s="4" t="str">
        <f t="shared" si="1"/>
        <v>Performances</v>
      </c>
      <c r="B14" s="23">
        <f>MATCH(B6,Dashboard!$A:$A,0)</f>
        <v>61</v>
      </c>
      <c r="C14" s="23">
        <f>MATCH(C6,Dashboard!$A:$A,0)</f>
        <v>60</v>
      </c>
      <c r="D14" s="23">
        <f>MATCH(D6,Dashboard!$A:$A,0)</f>
        <v>62</v>
      </c>
      <c r="E14" s="23">
        <f>MATCH(E6,Dashboard!$A:$A,0)</f>
        <v>21</v>
      </c>
      <c r="F14" s="23">
        <f>MATCH(F6,Dashboard!$A:$A,0)</f>
        <v>63</v>
      </c>
    </row>
    <row r="15" hidden="1">
      <c r="A15" s="11" t="str">
        <f t="shared" si="1"/>
        <v>Total portfolio</v>
      </c>
      <c r="B15" s="11" t="str">
        <f t="shared" ref="B15:F15" si="2">B7</f>
        <v>Stock value</v>
      </c>
      <c r="C15" s="11" t="str">
        <f t="shared" si="2"/>
        <v>Cash Fund</v>
      </c>
      <c r="D15" s="11" t="str">
        <f t="shared" si="2"/>
        <v>Today's result</v>
      </c>
      <c r="E15" s="11" t="str">
        <f t="shared" si="2"/>
        <v>Cumulated result</v>
      </c>
      <c r="F15" s="11" t="str">
        <f t="shared" si="2"/>
        <v>Margin</v>
      </c>
    </row>
    <row r="16" hidden="1">
      <c r="A16" s="23">
        <f>MATCH(A8,Dashboard!$A:$A,0)</f>
        <v>36</v>
      </c>
      <c r="B16" s="23">
        <f>MATCH(B8,Dashboard!$A:$A,0)</f>
        <v>34</v>
      </c>
      <c r="C16" s="23">
        <f>MATCH(C8,Dashboard!$A:$A,0)</f>
        <v>35</v>
      </c>
      <c r="D16" s="23">
        <f>MATCH(D8,Dashboard!$A:$A,0)</f>
        <v>58</v>
      </c>
      <c r="E16" s="23">
        <f>MATCH(E8,Dashboard!$A:$A,0)</f>
        <v>37</v>
      </c>
      <c r="F16" s="23">
        <f>MATCH(F8,Dashboard!$A:$A,0)</f>
        <v>50</v>
      </c>
    </row>
  </sheetData>
  <dataValidations>
    <dataValidation type="list" allowBlank="1" showErrorMessage="1" sqref="B1:F6 A8:F8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3" t="s">
        <v>2</v>
      </c>
      <c r="B1" s="3" t="s">
        <v>9</v>
      </c>
      <c r="C1" s="6" t="s">
        <v>11</v>
      </c>
      <c r="D1" s="3" t="s">
        <v>16</v>
      </c>
      <c r="E1" s="3" t="s">
        <v>17</v>
      </c>
      <c r="F1" s="7" t="s">
        <v>18</v>
      </c>
      <c r="G1" s="8" t="s">
        <v>20</v>
      </c>
      <c r="H1" s="10" t="s">
        <v>24</v>
      </c>
      <c r="I1" s="8" t="s">
        <v>30</v>
      </c>
      <c r="J1" s="10" t="s">
        <v>32</v>
      </c>
    </row>
    <row r="2">
      <c r="A2" s="17">
        <f>IF(ISDATE($A1),IF($A1+$F1&lt;=EOMONTH(DateTime!$B$1-TIME(3,0,0),0),$A1+$F1,""),IF($A1&lt;&gt;"",EOMONTH(DateTime!$B$1-TIME(3,0,0),-1)+1+CHOOSE(WEEKDAY(EOMONTH(DateTime!$B$1-TIME(3,0,0),-1)+1,2),0,0,0,0,0,2,1),))</f>
        <v>43770</v>
      </c>
      <c r="B2" s="18">
        <v>354556.84000000026</v>
      </c>
      <c r="C2" s="21" t="str">
        <f t="shared" ref="C2:C24" si="1">IF($A2,"EUR",)</f>
        <v>EUR</v>
      </c>
      <c r="D2" s="21">
        <v>0.0125</v>
      </c>
      <c r="E2" s="21">
        <f t="shared" ref="E2:E24" si="2">IF($A2,4%,)</f>
        <v>0.04</v>
      </c>
      <c r="F2" s="29">
        <f t="shared" ref="F2:F24" si="3">IF(WEEKDAY($A2,2)&lt;&gt;5,IF($A2,1,),3)</f>
        <v>3</v>
      </c>
      <c r="G2" s="18">
        <f t="shared" ref="G2:G24" si="4">IF($A2,(-H2*D2-I2*E2)/360*F2,)</f>
        <v>-36.97916667</v>
      </c>
      <c r="H2" s="31">
        <f>IF($A2,Dashboard!$B$48,)</f>
        <v>355000</v>
      </c>
      <c r="I2" s="31" t="str">
        <f t="shared" ref="I2:I24" si="5">IF(AND($H2&lt;&gt;"",$B2-$H2&gt;0),ROUNDUP($B2-$H2),"")</f>
        <v/>
      </c>
      <c r="J2" s="18">
        <f t="shared" ref="J2:J24" si="6">IFS(ROW()=2,$G2,$A2,$G2+$J1,$A2="","")</f>
        <v>-36.97916667</v>
      </c>
    </row>
    <row r="3">
      <c r="A3" s="17">
        <f>IF(ISDATE($A2),IF($A2+$F2&lt;=EOMONTH(DateTime!$B$1-TIME(3,0,0),0),$A2+$F2,""),IF($A2&lt;&gt;"",EOMONTH(DateTime!$B$1-TIME(3,0,0),-1)+1+CHOOSE(WEEKDAY(EOMONTH(DateTime!$B$1-TIME(3,0,0),-1)+1,2),0,0,0,0,0,2,1),))</f>
        <v>43773</v>
      </c>
      <c r="B3" s="18">
        <v>345416.8600000004</v>
      </c>
      <c r="C3" s="21" t="str">
        <f t="shared" si="1"/>
        <v>EUR</v>
      </c>
      <c r="D3" s="21">
        <v>0.0125</v>
      </c>
      <c r="E3" s="21">
        <f t="shared" si="2"/>
        <v>0.04</v>
      </c>
      <c r="F3" s="29">
        <f t="shared" si="3"/>
        <v>1</v>
      </c>
      <c r="G3" s="18">
        <f t="shared" si="4"/>
        <v>-12.32638889</v>
      </c>
      <c r="H3" s="31">
        <f>IF($A3,Dashboard!$B$48,)</f>
        <v>355000</v>
      </c>
      <c r="I3" s="31" t="str">
        <f t="shared" si="5"/>
        <v/>
      </c>
      <c r="J3" s="18">
        <f t="shared" si="6"/>
        <v>-49.30555556</v>
      </c>
    </row>
    <row r="4">
      <c r="A4" s="17">
        <f>IF(ISDATE($A3),IF($A3+$F3&lt;=EOMONTH(DateTime!$B$1-TIME(3,0,0),0),$A3+$F3,""),IF($A3&lt;&gt;"",EOMONTH(DateTime!$B$1-TIME(3,0,0),-1)+1+CHOOSE(WEEKDAY(EOMONTH(DateTime!$B$1-TIME(3,0,0),-1)+1,2),0,0,0,0,0,2,1),))</f>
        <v>43774</v>
      </c>
      <c r="B4" s="18">
        <v>339084.22000000026</v>
      </c>
      <c r="C4" s="21" t="str">
        <f t="shared" si="1"/>
        <v>EUR</v>
      </c>
      <c r="D4" s="21">
        <v>0.0125</v>
      </c>
      <c r="E4" s="21">
        <f t="shared" si="2"/>
        <v>0.04</v>
      </c>
      <c r="F4" s="29">
        <f t="shared" si="3"/>
        <v>1</v>
      </c>
      <c r="G4" s="18">
        <f t="shared" si="4"/>
        <v>-12.32638889</v>
      </c>
      <c r="H4" s="31">
        <f>IF($A4,Dashboard!$B$48,)</f>
        <v>355000</v>
      </c>
      <c r="I4" s="31" t="str">
        <f t="shared" si="5"/>
        <v/>
      </c>
      <c r="J4" s="18">
        <f t="shared" si="6"/>
        <v>-61.63194444</v>
      </c>
    </row>
    <row r="5">
      <c r="A5" s="17">
        <f>IF(ISDATE($A4),IF($A4+$F4&lt;=EOMONTH(DateTime!$B$1-TIME(3,0,0),0),$A4+$F4,""),IF($A4&lt;&gt;"",EOMONTH(DateTime!$B$1-TIME(3,0,0),-1)+1+CHOOSE(WEEKDAY(EOMONTH(DateTime!$B$1-TIME(3,0,0),-1)+1,2),0,0,0,0,0,2,1),))</f>
        <v>43775</v>
      </c>
      <c r="B5" s="18">
        <v>339084.22000000026</v>
      </c>
      <c r="C5" s="21" t="str">
        <f t="shared" si="1"/>
        <v>EUR</v>
      </c>
      <c r="D5" s="21">
        <v>0.0125</v>
      </c>
      <c r="E5" s="21">
        <f t="shared" si="2"/>
        <v>0.04</v>
      </c>
      <c r="F5" s="29">
        <f t="shared" si="3"/>
        <v>1</v>
      </c>
      <c r="G5" s="18">
        <f t="shared" si="4"/>
        <v>-12.32638889</v>
      </c>
      <c r="H5" s="31">
        <f>IF($A5,Dashboard!$B$48,)</f>
        <v>355000</v>
      </c>
      <c r="I5" s="31" t="str">
        <f t="shared" si="5"/>
        <v/>
      </c>
      <c r="J5" s="18">
        <f t="shared" si="6"/>
        <v>-73.95833333</v>
      </c>
    </row>
    <row r="6">
      <c r="A6" s="17">
        <f>IF(ISDATE($A5),IF($A5+$F5&lt;=EOMONTH(DateTime!$B$1-TIME(3,0,0),0),$A5+$F5,""),IF($A5&lt;&gt;"",EOMONTH(DateTime!$B$1-TIME(3,0,0),-1)+1+CHOOSE(WEEKDAY(EOMONTH(DateTime!$B$1-TIME(3,0,0),-1)+1,2),0,0,0,0,0,2,1),))</f>
        <v>43776</v>
      </c>
      <c r="B6" s="18">
        <v>339084.22000000026</v>
      </c>
      <c r="C6" s="21" t="str">
        <f t="shared" si="1"/>
        <v>EUR</v>
      </c>
      <c r="D6" s="21">
        <v>0.0125</v>
      </c>
      <c r="E6" s="21">
        <f t="shared" si="2"/>
        <v>0.04</v>
      </c>
      <c r="F6" s="29">
        <f t="shared" si="3"/>
        <v>1</v>
      </c>
      <c r="G6" s="18">
        <f t="shared" si="4"/>
        <v>-12.32638889</v>
      </c>
      <c r="H6" s="31">
        <f>IF($A6,Dashboard!$B$48,)</f>
        <v>355000</v>
      </c>
      <c r="I6" s="31" t="str">
        <f t="shared" si="5"/>
        <v/>
      </c>
      <c r="J6" s="18">
        <f t="shared" si="6"/>
        <v>-86.28472222</v>
      </c>
    </row>
    <row r="7">
      <c r="A7" s="17">
        <f>IF(ISDATE($A6),IF($A6+$F6&lt;=EOMONTH(DateTime!$B$1-TIME(3,0,0),0),$A6+$F6,""),IF($A6&lt;&gt;"",EOMONTH(DateTime!$B$1-TIME(3,0,0),-1)+1+CHOOSE(WEEKDAY(EOMONTH(DateTime!$B$1-TIME(3,0,0),-1)+1,2),0,0,0,0,0,2,1),))</f>
        <v>43777</v>
      </c>
      <c r="B7" s="18">
        <v>339084.22000000026</v>
      </c>
      <c r="C7" s="21" t="str">
        <f t="shared" si="1"/>
        <v>EUR</v>
      </c>
      <c r="D7" s="21">
        <v>0.0125</v>
      </c>
      <c r="E7" s="21">
        <f t="shared" si="2"/>
        <v>0.04</v>
      </c>
      <c r="F7" s="29">
        <f t="shared" si="3"/>
        <v>3</v>
      </c>
      <c r="G7" s="18">
        <f t="shared" si="4"/>
        <v>-36.97916667</v>
      </c>
      <c r="H7" s="31">
        <f>IF($A7,Dashboard!$B$48,)</f>
        <v>355000</v>
      </c>
      <c r="I7" s="31" t="str">
        <f t="shared" si="5"/>
        <v/>
      </c>
      <c r="J7" s="18">
        <f t="shared" si="6"/>
        <v>-123.2638889</v>
      </c>
    </row>
    <row r="8">
      <c r="A8" s="17">
        <f>IF(ISDATE($A7),IF($A7+$F7&lt;=EOMONTH(DateTime!$B$1-TIME(3,0,0),0),$A7+$F7,""),IF($A7&lt;&gt;"",EOMONTH(DateTime!$B$1-TIME(3,0,0),-1)+1+CHOOSE(WEEKDAY(EOMONTH(DateTime!$B$1-TIME(3,0,0),-1)+1,2),0,0,0,0,0,2,1),))</f>
        <v>43780</v>
      </c>
      <c r="B8" s="18">
        <v>339084.22000000026</v>
      </c>
      <c r="C8" s="21" t="str">
        <f t="shared" si="1"/>
        <v>EUR</v>
      </c>
      <c r="D8" s="21">
        <v>0.0125</v>
      </c>
      <c r="E8" s="21">
        <f t="shared" si="2"/>
        <v>0.04</v>
      </c>
      <c r="F8" s="29">
        <f t="shared" si="3"/>
        <v>1</v>
      </c>
      <c r="G8" s="18">
        <f t="shared" si="4"/>
        <v>-12.32638889</v>
      </c>
      <c r="H8" s="31">
        <f>IF($A8,Dashboard!$B$48,)</f>
        <v>355000</v>
      </c>
      <c r="I8" s="31" t="str">
        <f t="shared" si="5"/>
        <v/>
      </c>
      <c r="J8" s="18">
        <f t="shared" si="6"/>
        <v>-135.5902778</v>
      </c>
    </row>
    <row r="9">
      <c r="A9" s="17">
        <f>IF(ISDATE($A8),IF($A8+$F8&lt;=EOMONTH(DateTime!$B$1-TIME(3,0,0),0),$A8+$F8,""),IF($A8&lt;&gt;"",EOMONTH(DateTime!$B$1-TIME(3,0,0),-1)+1+CHOOSE(WEEKDAY(EOMONTH(DateTime!$B$1-TIME(3,0,0),-1)+1,2),0,0,0,0,0,2,1),))</f>
        <v>43781</v>
      </c>
      <c r="B9" s="18">
        <v>339084.22000000026</v>
      </c>
      <c r="C9" s="21" t="str">
        <f t="shared" si="1"/>
        <v>EUR</v>
      </c>
      <c r="D9" s="21">
        <v>0.0125</v>
      </c>
      <c r="E9" s="21">
        <f t="shared" si="2"/>
        <v>0.04</v>
      </c>
      <c r="F9" s="29">
        <f t="shared" si="3"/>
        <v>1</v>
      </c>
      <c r="G9" s="18">
        <f t="shared" si="4"/>
        <v>-12.32638889</v>
      </c>
      <c r="H9" s="31">
        <f>IF($A9,Dashboard!$B$48,)</f>
        <v>355000</v>
      </c>
      <c r="I9" s="31" t="str">
        <f t="shared" si="5"/>
        <v/>
      </c>
      <c r="J9" s="18">
        <f t="shared" si="6"/>
        <v>-147.9166667</v>
      </c>
    </row>
    <row r="10">
      <c r="A10" s="17">
        <f>IF(ISDATE($A9),IF($A9+$F9&lt;=EOMONTH(DateTime!$B$1-TIME(3,0,0),0),$A9+$F9,""),IF($A9&lt;&gt;"",EOMONTH(DateTime!$B$1-TIME(3,0,0),-1)+1+CHOOSE(WEEKDAY(EOMONTH(DateTime!$B$1-TIME(3,0,0),-1)+1,2),0,0,0,0,0,2,1),))</f>
        <v>43782</v>
      </c>
      <c r="B10" s="18">
        <v>339084.22000000026</v>
      </c>
      <c r="C10" s="21" t="str">
        <f t="shared" si="1"/>
        <v>EUR</v>
      </c>
      <c r="D10" s="21">
        <v>0.0125</v>
      </c>
      <c r="E10" s="21">
        <f t="shared" si="2"/>
        <v>0.04</v>
      </c>
      <c r="F10" s="29">
        <f t="shared" si="3"/>
        <v>1</v>
      </c>
      <c r="G10" s="18">
        <f t="shared" si="4"/>
        <v>-12.32638889</v>
      </c>
      <c r="H10" s="31">
        <f>IF($A10,Dashboard!$B$48,)</f>
        <v>355000</v>
      </c>
      <c r="I10" s="31" t="str">
        <f t="shared" si="5"/>
        <v/>
      </c>
      <c r="J10" s="18">
        <f t="shared" si="6"/>
        <v>-160.2430556</v>
      </c>
    </row>
    <row r="11">
      <c r="A11" s="17">
        <f>IF(ISDATE($A10),IF($A10+$F10&lt;=EOMONTH(DateTime!$B$1-TIME(3,0,0),0),$A10+$F10,""),IF($A10&lt;&gt;"",EOMONTH(DateTime!$B$1-TIME(3,0,0),-1)+1+CHOOSE(WEEKDAY(EOMONTH(DateTime!$B$1-TIME(3,0,0),-1)+1,2),0,0,0,0,0,2,1),))</f>
        <v>43783</v>
      </c>
      <c r="B11" s="18">
        <v>339084.22000000026</v>
      </c>
      <c r="C11" s="21" t="str">
        <f t="shared" si="1"/>
        <v>EUR</v>
      </c>
      <c r="D11" s="21">
        <v>0.0125</v>
      </c>
      <c r="E11" s="21">
        <f t="shared" si="2"/>
        <v>0.04</v>
      </c>
      <c r="F11" s="29">
        <f t="shared" si="3"/>
        <v>1</v>
      </c>
      <c r="G11" s="18">
        <f t="shared" si="4"/>
        <v>-12.32638889</v>
      </c>
      <c r="H11" s="31">
        <f>IF($A11,Dashboard!$B$48,)</f>
        <v>355000</v>
      </c>
      <c r="I11" s="31" t="str">
        <f t="shared" si="5"/>
        <v/>
      </c>
      <c r="J11" s="18">
        <f t="shared" si="6"/>
        <v>-172.5694444</v>
      </c>
    </row>
    <row r="12">
      <c r="A12" s="17">
        <f>IF(ISDATE($A11),IF($A11+$F11&lt;=EOMONTH(DateTime!$B$1-TIME(3,0,0),0),$A11+$F11,""),IF($A11&lt;&gt;"",EOMONTH(DateTime!$B$1-TIME(3,0,0),-1)+1+CHOOSE(WEEKDAY(EOMONTH(DateTime!$B$1-TIME(3,0,0),-1)+1,2),0,0,0,0,0,2,1),))</f>
        <v>43784</v>
      </c>
      <c r="B12" s="18">
        <v>339084.22000000026</v>
      </c>
      <c r="C12" s="21" t="str">
        <f t="shared" si="1"/>
        <v>EUR</v>
      </c>
      <c r="D12" s="21">
        <v>0.0125</v>
      </c>
      <c r="E12" s="21">
        <f t="shared" si="2"/>
        <v>0.04</v>
      </c>
      <c r="F12" s="29">
        <f t="shared" si="3"/>
        <v>3</v>
      </c>
      <c r="G12" s="18">
        <f t="shared" si="4"/>
        <v>-36.97916667</v>
      </c>
      <c r="H12" s="31">
        <f>IF($A12,Dashboard!$B$48,)</f>
        <v>355000</v>
      </c>
      <c r="I12" s="31" t="str">
        <f t="shared" si="5"/>
        <v/>
      </c>
      <c r="J12" s="18">
        <f t="shared" si="6"/>
        <v>-209.5486111</v>
      </c>
    </row>
    <row r="13">
      <c r="A13" s="17">
        <f>IF(ISDATE($A12),IF($A12+$F12&lt;=EOMONTH(DateTime!$B$1-TIME(3,0,0),0),$A12+$F12,""),IF($A12&lt;&gt;"",EOMONTH(DateTime!$B$1-TIME(3,0,0),-1)+1+CHOOSE(WEEKDAY(EOMONTH(DateTime!$B$1-TIME(3,0,0),-1)+1,2),0,0,0,0,0,2,1),))</f>
        <v>43787</v>
      </c>
      <c r="B13" s="18">
        <v>339084.22000000026</v>
      </c>
      <c r="C13" s="21" t="str">
        <f t="shared" si="1"/>
        <v>EUR</v>
      </c>
      <c r="D13" s="21">
        <v>0.0125</v>
      </c>
      <c r="E13" s="21">
        <f t="shared" si="2"/>
        <v>0.04</v>
      </c>
      <c r="F13" s="29">
        <f t="shared" si="3"/>
        <v>1</v>
      </c>
      <c r="G13" s="18">
        <f t="shared" si="4"/>
        <v>-12.32638889</v>
      </c>
      <c r="H13" s="31">
        <f>IF($A13,Dashboard!$B$48,)</f>
        <v>355000</v>
      </c>
      <c r="I13" s="31" t="str">
        <f t="shared" si="5"/>
        <v/>
      </c>
      <c r="J13" s="18">
        <f t="shared" si="6"/>
        <v>-221.875</v>
      </c>
    </row>
    <row r="14">
      <c r="A14" s="17">
        <f>IF(ISDATE($A13),IF($A13+$F13&lt;=EOMONTH(DateTime!$B$1-TIME(3,0,0),0),$A13+$F13,""),IF($A13&lt;&gt;"",EOMONTH(DateTime!$B$1-TIME(3,0,0),-1)+1+CHOOSE(WEEKDAY(EOMONTH(DateTime!$B$1-TIME(3,0,0),-1)+1,2),0,0,0,0,0,2,1),))</f>
        <v>43788</v>
      </c>
      <c r="B14" s="18">
        <v>339084.22000000026</v>
      </c>
      <c r="C14" s="21" t="str">
        <f t="shared" si="1"/>
        <v>EUR</v>
      </c>
      <c r="D14" s="21">
        <v>0.0125</v>
      </c>
      <c r="E14" s="21">
        <f t="shared" si="2"/>
        <v>0.04</v>
      </c>
      <c r="F14" s="29">
        <f t="shared" si="3"/>
        <v>1</v>
      </c>
      <c r="G14" s="18">
        <f t="shared" si="4"/>
        <v>-12.32638889</v>
      </c>
      <c r="H14" s="31">
        <f>IF($A14,Dashboard!$B$48,)</f>
        <v>355000</v>
      </c>
      <c r="I14" s="31" t="str">
        <f t="shared" si="5"/>
        <v/>
      </c>
      <c r="J14" s="18">
        <f t="shared" si="6"/>
        <v>-234.2013889</v>
      </c>
    </row>
    <row r="15">
      <c r="A15" s="17">
        <f>IF(ISDATE($A14),IF($A14+$F14&lt;=EOMONTH(DateTime!$B$1-TIME(3,0,0),0),$A14+$F14,""),IF($A14&lt;&gt;"",EOMONTH(DateTime!$B$1-TIME(3,0,0),-1)+1+CHOOSE(WEEKDAY(EOMONTH(DateTime!$B$1-TIME(3,0,0),-1)+1,2),0,0,0,0,0,2,1),))</f>
        <v>43789</v>
      </c>
      <c r="B15" s="18">
        <v>339084.22000000026</v>
      </c>
      <c r="C15" s="21" t="str">
        <f t="shared" si="1"/>
        <v>EUR</v>
      </c>
      <c r="D15" s="21">
        <v>0.0125</v>
      </c>
      <c r="E15" s="21">
        <f t="shared" si="2"/>
        <v>0.04</v>
      </c>
      <c r="F15" s="29">
        <f t="shared" si="3"/>
        <v>1</v>
      </c>
      <c r="G15" s="18">
        <f t="shared" si="4"/>
        <v>-12.32638889</v>
      </c>
      <c r="H15" s="31">
        <f>IF($A15,Dashboard!$B$48,)</f>
        <v>355000</v>
      </c>
      <c r="I15" s="31" t="str">
        <f t="shared" si="5"/>
        <v/>
      </c>
      <c r="J15" s="18">
        <f t="shared" si="6"/>
        <v>-246.5277778</v>
      </c>
    </row>
    <row r="16">
      <c r="A16" s="17">
        <f>IF(ISDATE($A15),IF($A15+$F15&lt;=EOMONTH(DateTime!$B$1-TIME(3,0,0),0),$A15+$F15,""),IF($A15&lt;&gt;"",EOMONTH(DateTime!$B$1-TIME(3,0,0),-1)+1+CHOOSE(WEEKDAY(EOMONTH(DateTime!$B$1-TIME(3,0,0),-1)+1,2),0,0,0,0,0,2,1),))</f>
        <v>43790</v>
      </c>
      <c r="B16" s="18">
        <v>339084.22000000026</v>
      </c>
      <c r="C16" s="21" t="str">
        <f t="shared" si="1"/>
        <v>EUR</v>
      </c>
      <c r="D16" s="21">
        <v>0.0125</v>
      </c>
      <c r="E16" s="21">
        <f t="shared" si="2"/>
        <v>0.04</v>
      </c>
      <c r="F16" s="29">
        <f t="shared" si="3"/>
        <v>1</v>
      </c>
      <c r="G16" s="18">
        <f t="shared" si="4"/>
        <v>-12.32638889</v>
      </c>
      <c r="H16" s="31">
        <f>IF($A16,Dashboard!$B$48,)</f>
        <v>355000</v>
      </c>
      <c r="I16" s="31" t="str">
        <f t="shared" si="5"/>
        <v/>
      </c>
      <c r="J16" s="18">
        <f t="shared" si="6"/>
        <v>-258.8541667</v>
      </c>
    </row>
    <row r="17">
      <c r="A17" s="17">
        <f>IF(ISDATE($A16),IF($A16+$F16&lt;=EOMONTH(DateTime!$B$1-TIME(3,0,0),0),$A16+$F16,""),IF($A16&lt;&gt;"",EOMONTH(DateTime!$B$1-TIME(3,0,0),-1)+1+CHOOSE(WEEKDAY(EOMONTH(DateTime!$B$1-TIME(3,0,0),-1)+1,2),0,0,0,0,0,2,1),))</f>
        <v>43791</v>
      </c>
      <c r="B17" s="18">
        <v>339084.22000000026</v>
      </c>
      <c r="C17" s="21" t="str">
        <f t="shared" si="1"/>
        <v>EUR</v>
      </c>
      <c r="D17" s="21">
        <v>0.0125</v>
      </c>
      <c r="E17" s="21">
        <f t="shared" si="2"/>
        <v>0.04</v>
      </c>
      <c r="F17" s="29">
        <f t="shared" si="3"/>
        <v>3</v>
      </c>
      <c r="G17" s="18">
        <f t="shared" si="4"/>
        <v>-36.97916667</v>
      </c>
      <c r="H17" s="31">
        <f>IF($A17,Dashboard!$B$48,)</f>
        <v>355000</v>
      </c>
      <c r="I17" s="31" t="str">
        <f t="shared" si="5"/>
        <v/>
      </c>
      <c r="J17" s="18">
        <f t="shared" si="6"/>
        <v>-295.8333333</v>
      </c>
    </row>
    <row r="18">
      <c r="A18" s="17">
        <f>IF(ISDATE($A17),IF($A17+$F17&lt;=EOMONTH(DateTime!$B$1-TIME(3,0,0),0),$A17+$F17,""),IF($A17&lt;&gt;"",EOMONTH(DateTime!$B$1-TIME(3,0,0),-1)+1+CHOOSE(WEEKDAY(EOMONTH(DateTime!$B$1-TIME(3,0,0),-1)+1,2),0,0,0,0,0,2,1),))</f>
        <v>43794</v>
      </c>
      <c r="B18" s="18">
        <v>339084.22000000026</v>
      </c>
      <c r="C18" s="21" t="str">
        <f t="shared" si="1"/>
        <v>EUR</v>
      </c>
      <c r="D18" s="21">
        <v>0.0125</v>
      </c>
      <c r="E18" s="21">
        <f t="shared" si="2"/>
        <v>0.04</v>
      </c>
      <c r="F18" s="29">
        <f t="shared" si="3"/>
        <v>1</v>
      </c>
      <c r="G18" s="18">
        <f t="shared" si="4"/>
        <v>-12.32638889</v>
      </c>
      <c r="H18" s="31">
        <f>IF($A18,Dashboard!$B$48,)</f>
        <v>355000</v>
      </c>
      <c r="I18" s="31" t="str">
        <f t="shared" si="5"/>
        <v/>
      </c>
      <c r="J18" s="18">
        <f t="shared" si="6"/>
        <v>-308.1597222</v>
      </c>
    </row>
    <row r="19">
      <c r="A19" s="17">
        <f>IF(ISDATE($A18),IF($A18+$F18&lt;=EOMONTH(DateTime!$B$1-TIME(3,0,0),0),$A18+$F18,""),IF($A18&lt;&gt;"",EOMONTH(DateTime!$B$1-TIME(3,0,0),-1)+1+CHOOSE(WEEKDAY(EOMONTH(DateTime!$B$1-TIME(3,0,0),-1)+1,2),0,0,0,0,0,2,1),))</f>
        <v>43795</v>
      </c>
      <c r="B19" s="18">
        <v>339084.22000000026</v>
      </c>
      <c r="C19" s="21" t="str">
        <f t="shared" si="1"/>
        <v>EUR</v>
      </c>
      <c r="D19" s="21">
        <v>0.0125</v>
      </c>
      <c r="E19" s="21">
        <f t="shared" si="2"/>
        <v>0.04</v>
      </c>
      <c r="F19" s="29">
        <f t="shared" si="3"/>
        <v>1</v>
      </c>
      <c r="G19" s="18">
        <f t="shared" si="4"/>
        <v>-12.32638889</v>
      </c>
      <c r="H19" s="31">
        <f>IF($A19,Dashboard!$B$48,)</f>
        <v>355000</v>
      </c>
      <c r="I19" s="31" t="str">
        <f t="shared" si="5"/>
        <v/>
      </c>
      <c r="J19" s="18">
        <f t="shared" si="6"/>
        <v>-320.4861111</v>
      </c>
    </row>
    <row r="20">
      <c r="A20" s="17">
        <f>IF(ISDATE($A19),IF($A19+$F19&lt;=EOMONTH(DateTime!$B$1-TIME(3,0,0),0),$A19+$F19,""),IF($A19&lt;&gt;"",EOMONTH(DateTime!$B$1-TIME(3,0,0),-1)+1+CHOOSE(WEEKDAY(EOMONTH(DateTime!$B$1-TIME(3,0,0),-1)+1,2),0,0,0,0,0,2,1),))</f>
        <v>43796</v>
      </c>
      <c r="B20" s="18">
        <v>339084.22000000026</v>
      </c>
      <c r="C20" s="21" t="str">
        <f t="shared" si="1"/>
        <v>EUR</v>
      </c>
      <c r="D20" s="21">
        <v>0.0125</v>
      </c>
      <c r="E20" s="21">
        <f t="shared" si="2"/>
        <v>0.04</v>
      </c>
      <c r="F20" s="29">
        <f t="shared" si="3"/>
        <v>1</v>
      </c>
      <c r="G20" s="18">
        <f t="shared" si="4"/>
        <v>-12.32638889</v>
      </c>
      <c r="H20" s="31">
        <f>IF($A20,Dashboard!$B$48,)</f>
        <v>355000</v>
      </c>
      <c r="I20" s="31" t="str">
        <f t="shared" si="5"/>
        <v/>
      </c>
      <c r="J20" s="18">
        <f t="shared" si="6"/>
        <v>-332.8125</v>
      </c>
    </row>
    <row r="21">
      <c r="A21" s="17">
        <f>IF(ISDATE($A20),IF($A20+$F20&lt;=EOMONTH(DateTime!$B$1-TIME(3,0,0),0),$A20+$F20,""),IF($A20&lt;&gt;"",EOMONTH(DateTime!$B$1-TIME(3,0,0),-1)+1+CHOOSE(WEEKDAY(EOMONTH(DateTime!$B$1-TIME(3,0,0),-1)+1,2),0,0,0,0,0,2,1),))</f>
        <v>43797</v>
      </c>
      <c r="B21" s="18">
        <v>339084.22000000026</v>
      </c>
      <c r="C21" s="21" t="str">
        <f t="shared" si="1"/>
        <v>EUR</v>
      </c>
      <c r="D21" s="21">
        <v>0.0125</v>
      </c>
      <c r="E21" s="21">
        <f t="shared" si="2"/>
        <v>0.04</v>
      </c>
      <c r="F21" s="29">
        <f t="shared" si="3"/>
        <v>1</v>
      </c>
      <c r="G21" s="18">
        <f t="shared" si="4"/>
        <v>-12.32638889</v>
      </c>
      <c r="H21" s="31">
        <f>IF($A21,Dashboard!$B$48,)</f>
        <v>355000</v>
      </c>
      <c r="I21" s="31" t="str">
        <f t="shared" si="5"/>
        <v/>
      </c>
      <c r="J21" s="18">
        <f t="shared" si="6"/>
        <v>-345.1388889</v>
      </c>
    </row>
    <row r="22">
      <c r="A22" s="17">
        <f>IF(ISDATE($A21),IF($A21+$F21&lt;=EOMONTH(DateTime!$B$1-TIME(3,0,0),0),$A21+$F21,""),IF($A21&lt;&gt;"",EOMONTH(DateTime!$B$1-TIME(3,0,0),-1)+1+CHOOSE(WEEKDAY(EOMONTH(DateTime!$B$1-TIME(3,0,0),-1)+1,2),0,0,0,0,0,2,1),))</f>
        <v>43798</v>
      </c>
      <c r="B22" s="18">
        <v>339084.22000000026</v>
      </c>
      <c r="C22" s="21" t="str">
        <f t="shared" si="1"/>
        <v>EUR</v>
      </c>
      <c r="D22" s="21">
        <v>0.0125</v>
      </c>
      <c r="E22" s="21">
        <f t="shared" si="2"/>
        <v>0.04</v>
      </c>
      <c r="F22" s="29">
        <f t="shared" si="3"/>
        <v>3</v>
      </c>
      <c r="G22" s="18">
        <f t="shared" si="4"/>
        <v>-36.97916667</v>
      </c>
      <c r="H22" s="31">
        <f>IF($A22,Dashboard!$B$48,)</f>
        <v>355000</v>
      </c>
      <c r="I22" s="31" t="str">
        <f t="shared" si="5"/>
        <v/>
      </c>
      <c r="J22" s="18">
        <f t="shared" si="6"/>
        <v>-382.1180556</v>
      </c>
    </row>
    <row r="23">
      <c r="A23" s="17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8"/>
      <c r="C23" s="21" t="str">
        <f t="shared" si="1"/>
        <v/>
      </c>
      <c r="D23" s="21"/>
      <c r="E23" s="21" t="str">
        <f t="shared" si="2"/>
        <v/>
      </c>
      <c r="F23" s="29" t="str">
        <f t="shared" si="3"/>
        <v/>
      </c>
      <c r="G23" s="55" t="str">
        <f t="shared" si="4"/>
        <v/>
      </c>
      <c r="H23" s="31" t="str">
        <f>IF($A23,Dashboard!$B$48,)</f>
        <v/>
      </c>
      <c r="I23" s="31" t="str">
        <f t="shared" si="5"/>
        <v/>
      </c>
      <c r="J23" s="18" t="str">
        <f t="shared" si="6"/>
        <v/>
      </c>
    </row>
    <row r="24">
      <c r="A24" s="17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8"/>
      <c r="C24" s="21" t="str">
        <f t="shared" si="1"/>
        <v/>
      </c>
      <c r="D24" s="21"/>
      <c r="E24" s="21" t="str">
        <f t="shared" si="2"/>
        <v/>
      </c>
      <c r="F24" s="29" t="str">
        <f t="shared" si="3"/>
        <v/>
      </c>
      <c r="G24" s="55" t="str">
        <f t="shared" si="4"/>
        <v/>
      </c>
      <c r="H24" s="31" t="str">
        <f>IF($A24,Dashboard!$B$48,)</f>
        <v/>
      </c>
      <c r="I24" s="31" t="str">
        <f t="shared" si="5"/>
        <v/>
      </c>
      <c r="J24" s="18" t="str">
        <f t="shared" si="6"/>
        <v/>
      </c>
    </row>
  </sheetData>
  <conditionalFormatting sqref="B2:B24 D2:D24">
    <cfRule type="expression" dxfId="0" priority="1">
      <formula>$A2&lt;=TODAY()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12" t="s">
        <v>2</v>
      </c>
      <c r="B1" s="12" t="s">
        <v>51</v>
      </c>
      <c r="C1" s="12" t="s">
        <v>52</v>
      </c>
      <c r="D1" s="12" t="s">
        <v>53</v>
      </c>
      <c r="E1" s="12" t="s">
        <v>54</v>
      </c>
      <c r="F1" s="13" t="s">
        <v>55</v>
      </c>
      <c r="G1" s="12" t="s">
        <v>56</v>
      </c>
      <c r="H1" s="12" t="s">
        <v>57</v>
      </c>
      <c r="I1" s="12"/>
      <c r="J1" s="12" t="s">
        <v>58</v>
      </c>
      <c r="K1" s="12"/>
      <c r="L1" s="13" t="s">
        <v>59</v>
      </c>
      <c r="M1" s="1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15"/>
      <c r="O1" s="16"/>
      <c r="P1" s="19" t="s">
        <v>2</v>
      </c>
      <c r="Q1" s="20" t="s">
        <v>60</v>
      </c>
      <c r="R1" s="22" t="s">
        <v>61</v>
      </c>
      <c r="S1" s="20" t="s">
        <v>62</v>
      </c>
      <c r="T1" s="20" t="s">
        <v>63</v>
      </c>
      <c r="U1" s="24" t="s">
        <v>64</v>
      </c>
      <c r="V1" s="25" t="s">
        <v>65</v>
      </c>
      <c r="W1" s="26"/>
      <c r="X1" s="27"/>
      <c r="Y1" s="27"/>
      <c r="Z1" s="26"/>
      <c r="AA1" s="27"/>
      <c r="AB1" s="26"/>
      <c r="AC1" s="28"/>
      <c r="AD1" s="28"/>
      <c r="AE1" s="28"/>
      <c r="AF1" s="28"/>
      <c r="AG1" s="28"/>
      <c r="AH1" s="28"/>
      <c r="AI1" s="28"/>
      <c r="AJ1" s="28"/>
      <c r="AK1" s="28"/>
    </row>
    <row r="2">
      <c r="A2" s="12" t="s">
        <v>66</v>
      </c>
      <c r="B2" s="12" t="s">
        <v>67</v>
      </c>
      <c r="C2" s="12" t="s">
        <v>66</v>
      </c>
      <c r="D2" s="12" t="s">
        <v>68</v>
      </c>
      <c r="E2" s="12" t="s">
        <v>69</v>
      </c>
      <c r="F2" s="13" t="s">
        <v>70</v>
      </c>
      <c r="G2" s="12"/>
      <c r="H2" s="12" t="s">
        <v>71</v>
      </c>
      <c r="I2" s="12" t="s">
        <v>72</v>
      </c>
      <c r="J2" s="12" t="s">
        <v>71</v>
      </c>
      <c r="K2" s="12" t="s">
        <v>73</v>
      </c>
      <c r="L2" s="13" t="s">
        <v>74</v>
      </c>
      <c r="M2" s="30">
        <f>IFERROR(__xludf.DUMMYFUNCTION("IFS(W2=""Achat"",IFERROR(VALUE(X2),VALUE(REGEXREPLACE(T(X2),""[^0-9]"",""""))),W2=""Vente"",-IFERROR(VALUE(X2),VALUE(REGEXREPLACE(T(X2),""[^0-9]"",""""))),Y2=""Change"",0,Y2&lt;&gt;""Change"","""")"),-24.0)</f>
        <v>-24</v>
      </c>
      <c r="N2" s="32">
        <f>IFERROR(__xludf.DUMMYFUNCTION("IF(Account!$F2&lt;&gt;"""", VALUE(REGEXREPLACE($I2, ""\,"", ""."")), """")"),1259.59)</f>
        <v>1259.59</v>
      </c>
      <c r="O2" s="33">
        <f>IF(Account!$F2&lt;&gt;"", DATEVALUE(MID($A2,4,3) &amp; LEFT($A2,3) &amp; RIGHT($A2,4)) + TIMEVALUE($B2), "")</f>
        <v>43773.63333</v>
      </c>
      <c r="P2" s="34">
        <f>IF(Account!$F2&lt;&gt;"", DATEVALUE(MID($C2,4,3) &amp; LEFT($C2,3) &amp; RIGHT($C2,4)), "")</f>
        <v>43773</v>
      </c>
      <c r="Q2" s="35" t="str">
        <f t="array" ref="Q2">IF($R2&lt;&gt;"",IFERROR(INDEX(ISIN!$B:$B,MATCH($R2,ISIN!$C:$C,0))),)</f>
        <v>Stocks</v>
      </c>
      <c r="R2" s="36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Vanguard S&amp;P 500 UCITS</v>
      </c>
      <c r="S2" s="35" t="str">
        <f t="shared" ref="S2:S1200" si="1">IFS(P2="","",OR(W2="Versement",W2="Retrait"),"APPROVISIONNEMENT",OR(W2="Frais",Y2="Argent",W2="Distribution",W2="Conversion",R2="",AND(M2=0,ABS(N2)&lt;10)),"COST",T2="","DIVIDEND",T2&gt;0,"BUY",T2&lt;0,"SELL")</f>
        <v>SELL</v>
      </c>
      <c r="T2" s="37">
        <f t="shared" ref="T2:T1200" si="2">IF(AND(OR($W2="Achat",$W2="Vente", $Y2="change"),OR(M2&lt;&gt;0,ABS(N2)&gt;=10),E2&lt;&gt;""),IF(SUMIFS(M:M,O:O,O2,R:R,R2)&lt;&gt;0,SUMIFS(M:M,O:O,O2,R:R,R2),""),"")</f>
        <v>-24</v>
      </c>
      <c r="U2" s="38">
        <f t="shared" ref="U2:U1200" si="3">IF(AND(T2&lt;&gt;0,T2&lt;&gt;""),-V2/T2,"")</f>
        <v>52.48291667</v>
      </c>
      <c r="V2" s="32">
        <f t="shared" ref="V2:V1200" si="4"> IF($F2&lt;&gt;"",IF(R2&lt;&gt;"",SUMIFS(N:N,O:O,O2,S:S,S2,R:R,R2),SUMIFS(N:N,O:O,O2,S:S,S2,R:R,"=")),"")</f>
        <v>1259.59</v>
      </c>
      <c r="W2" s="39" t="str">
        <f>IFERROR(__xludf.DUMMYFUNCTION(" IF(Account!$F2&lt;&gt;"""", SPLIT(Account!$F2, "" ""), """")"),"Vente")</f>
        <v>Vente</v>
      </c>
      <c r="X2" s="40">
        <f>IFERROR(__xludf.DUMMYFUNCTION("""COMPUTED_VALUE"""),24.0)</f>
        <v>24</v>
      </c>
      <c r="Y2" s="41" t="str">
        <f>IFERROR(__xludf.DUMMYFUNCTION("""COMPUTED_VALUE"""),"VANGUARD")</f>
        <v>VANGUARD</v>
      </c>
      <c r="Z2" s="41" t="str">
        <f>IFERROR(__xludf.DUMMYFUNCTION("""COMPUTED_VALUE"""),"S&amp;P500@52,483")</f>
        <v>S&amp;P500@52,483</v>
      </c>
      <c r="AA2" s="41" t="str">
        <f>IFERROR(__xludf.DUMMYFUNCTION("""COMPUTED_VALUE"""),"EUR")</f>
        <v>EUR</v>
      </c>
      <c r="AB2" s="41" t="str">
        <f>IFERROR(__xludf.DUMMYFUNCTION("""COMPUTED_VALUE"""),"(IE00B3XXRP09)")</f>
        <v>(IE00B3XXRP09)</v>
      </c>
      <c r="AC2" s="41"/>
      <c r="AD2" s="41"/>
      <c r="AE2" s="41"/>
      <c r="AF2" s="41"/>
      <c r="AG2" s="41"/>
      <c r="AH2" s="41"/>
      <c r="AI2" s="41"/>
      <c r="AJ2" s="41"/>
      <c r="AK2" s="41"/>
    </row>
    <row r="3">
      <c r="A3" s="12" t="s">
        <v>66</v>
      </c>
      <c r="B3" s="12" t="s">
        <v>75</v>
      </c>
      <c r="C3" s="12" t="s">
        <v>66</v>
      </c>
      <c r="D3" s="12" t="s">
        <v>68</v>
      </c>
      <c r="E3" s="12" t="s">
        <v>69</v>
      </c>
      <c r="F3" s="13" t="s">
        <v>76</v>
      </c>
      <c r="G3" s="12"/>
      <c r="H3" s="12" t="s">
        <v>71</v>
      </c>
      <c r="I3" s="12" t="s">
        <v>77</v>
      </c>
      <c r="J3" s="12" t="s">
        <v>71</v>
      </c>
      <c r="K3" s="12" t="s">
        <v>78</v>
      </c>
      <c r="L3" s="13" t="s">
        <v>79</v>
      </c>
      <c r="M3" s="30">
        <f>IFERROR(__xludf.DUMMYFUNCTION("IFS(W3=""Achat"",IFERROR(VALUE(X3),VALUE(REGEXREPLACE(T(X3),""[^0-9]"",""""))),W3=""Vente"",-IFERROR(VALUE(X3),VALUE(REGEXREPLACE(T(X3),""[^0-9]"",""""))),Y3=""Change"",0,Y3&lt;&gt;""Change"","""")"),-16.0)</f>
        <v>-16</v>
      </c>
      <c r="N3" s="32">
        <f>IFERROR(__xludf.DUMMYFUNCTION("IF(Account!$F3&lt;&gt;"""", VALUE(REGEXREPLACE($I3, ""\,"", ""."")), """")"),838.77)</f>
        <v>838.77</v>
      </c>
      <c r="O3" s="33">
        <f>IF(Account!$F3&lt;&gt;"", DATEVALUE(MID($A3,4,3) &amp; LEFT($A3,3) &amp; RIGHT($A3,4)) + TIMEVALUE($B3), "")</f>
        <v>43773.51042</v>
      </c>
      <c r="P3" s="34">
        <f>IF(Account!$F3&lt;&gt;"", DATEVALUE(MID($C3,4,3) &amp; LEFT($C3,3) &amp; RIGHT($C3,4)), "")</f>
        <v>43773</v>
      </c>
      <c r="Q3" s="35" t="str">
        <f t="array" ref="Q3">IF($R3&lt;&gt;"",IFERROR(INDEX(ISIN!$B:$B,MATCH($R3,ISIN!$C:$C,0))),)</f>
        <v>Stocks</v>
      </c>
      <c r="R3" s="36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5" t="str">
        <f t="shared" si="1"/>
        <v>SELL</v>
      </c>
      <c r="T3" s="37">
        <f t="shared" si="2"/>
        <v>-16</v>
      </c>
      <c r="U3" s="38">
        <f t="shared" si="3"/>
        <v>52.423125</v>
      </c>
      <c r="V3" s="32">
        <f t="shared" si="4"/>
        <v>838.77</v>
      </c>
      <c r="W3" s="39" t="str">
        <f>IFERROR(__xludf.DUMMYFUNCTION(" IF(Account!$F3&lt;&gt;"""", SPLIT(Account!$F3, "" ""), """")"),"Vente")</f>
        <v>Vente</v>
      </c>
      <c r="X3" s="40">
        <f>IFERROR(__xludf.DUMMYFUNCTION("""COMPUTED_VALUE"""),16.0)</f>
        <v>16</v>
      </c>
      <c r="Y3" s="41" t="str">
        <f>IFERROR(__xludf.DUMMYFUNCTION("""COMPUTED_VALUE"""),"VANGUARD")</f>
        <v>VANGUARD</v>
      </c>
      <c r="Z3" s="41" t="str">
        <f>IFERROR(__xludf.DUMMYFUNCTION("""COMPUTED_VALUE"""),"S&amp;P500@52,423")</f>
        <v>S&amp;P500@52,423</v>
      </c>
      <c r="AA3" s="41" t="str">
        <f>IFERROR(__xludf.DUMMYFUNCTION("""COMPUTED_VALUE"""),"EUR")</f>
        <v>EUR</v>
      </c>
      <c r="AB3" s="41" t="str">
        <f>IFERROR(__xludf.DUMMYFUNCTION("""COMPUTED_VALUE"""),"(IE00B3XXRP09)")</f>
        <v>(IE00B3XXRP09)</v>
      </c>
      <c r="AC3" s="41"/>
      <c r="AD3" s="41"/>
      <c r="AE3" s="41"/>
      <c r="AF3" s="41"/>
      <c r="AG3" s="41"/>
      <c r="AH3" s="41"/>
      <c r="AI3" s="41"/>
      <c r="AJ3" s="41"/>
      <c r="AK3" s="41"/>
    </row>
    <row r="4">
      <c r="A4" s="12" t="s">
        <v>66</v>
      </c>
      <c r="B4" s="12" t="s">
        <v>81</v>
      </c>
      <c r="C4" s="12" t="s">
        <v>82</v>
      </c>
      <c r="D4" s="12"/>
      <c r="E4" s="12"/>
      <c r="F4" s="13" t="s">
        <v>83</v>
      </c>
      <c r="G4" s="12"/>
      <c r="H4" s="12" t="s">
        <v>71</v>
      </c>
      <c r="I4" s="12" t="s">
        <v>84</v>
      </c>
      <c r="J4" s="12" t="s">
        <v>71</v>
      </c>
      <c r="K4" s="12" t="s">
        <v>85</v>
      </c>
      <c r="L4" s="13"/>
      <c r="M4" s="30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2">
        <f>IFERROR(__xludf.DUMMYFUNCTION("IF(Account!$F4&lt;&gt;"""", VALUE(REGEXREPLACE($I4, ""\,"", ""."")), """")"),-369.69)</f>
        <v>-369.69</v>
      </c>
      <c r="O4" s="33">
        <f>IF(Account!$F4&lt;&gt;"", DATEVALUE(MID($A4,4,3) &amp; LEFT($A4,3) &amp; RIGHT($A4,4)) + TIMEVALUE($B4), "")</f>
        <v>43773.50069</v>
      </c>
      <c r="P4" s="34">
        <f>IF(Account!$F4&lt;&gt;"", DATEVALUE(MID($C4,4,3) &amp; LEFT($C4,3) &amp; RIGHT($C4,4)), "")</f>
        <v>43769</v>
      </c>
      <c r="Q4" s="35" t="str">
        <f t="array" ref="Q4">IF($R4&lt;&gt;"",IFERROR(INDEX(ISIN!$B:$B,MATCH($R4,ISIN!$C:$C,0))),)</f>
        <v/>
      </c>
      <c r="R4" s="36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5" t="str">
        <f t="shared" si="1"/>
        <v>COST</v>
      </c>
      <c r="T4" s="37" t="str">
        <f t="shared" si="2"/>
        <v/>
      </c>
      <c r="U4" s="38" t="str">
        <f t="shared" si="3"/>
        <v/>
      </c>
      <c r="V4" s="32">
        <f t="shared" si="4"/>
        <v>-369.69</v>
      </c>
      <c r="W4" s="39" t="str">
        <f>IFERROR(__xludf.DUMMYFUNCTION(" IF(Account!$F4&lt;&gt;"""", SPLIT(Account!$F4, "" ""), """")"),"Intérêts")</f>
        <v>Intérêts</v>
      </c>
      <c r="X4" s="54" t="str">
        <f>IFERROR(__xludf.DUMMYFUNCTION("""COMPUTED_VALUE"""),"débiteurs")</f>
        <v>débiteurs</v>
      </c>
      <c r="Y4" s="54" t="str">
        <f>IFERROR(__xludf.DUMMYFUNCTION("""COMPUTED_VALUE"""),"mensuels")</f>
        <v>mensuels</v>
      </c>
      <c r="Z4" s="54" t="str">
        <f>IFERROR(__xludf.DUMMYFUNCTION("""COMPUTED_VALUE"""),"(Débit")</f>
        <v>(Débit</v>
      </c>
      <c r="AA4" s="54" t="str">
        <f>IFERROR(__xludf.DUMMYFUNCTION("""COMPUTED_VALUE"""),"Argent)")</f>
        <v>Argent)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</row>
    <row r="5">
      <c r="A5" s="12" t="s">
        <v>66</v>
      </c>
      <c r="B5" s="12" t="s">
        <v>86</v>
      </c>
      <c r="C5" s="12" t="s">
        <v>66</v>
      </c>
      <c r="D5" s="12" t="s">
        <v>68</v>
      </c>
      <c r="E5" s="12" t="s">
        <v>69</v>
      </c>
      <c r="F5" s="13" t="s">
        <v>87</v>
      </c>
      <c r="G5" s="12"/>
      <c r="H5" s="12" t="s">
        <v>71</v>
      </c>
      <c r="I5" s="12" t="s">
        <v>88</v>
      </c>
      <c r="J5" s="12" t="s">
        <v>71</v>
      </c>
      <c r="K5" s="12" t="s">
        <v>89</v>
      </c>
      <c r="L5" s="13" t="s">
        <v>79</v>
      </c>
      <c r="M5" s="30">
        <f>IFERROR(__xludf.DUMMYFUNCTION("IFS(W5=""Achat"",IFERROR(VALUE(X5),VALUE(REGEXREPLACE(T(X5),""[^0-9]"",""""))),W5=""Vente"",-IFERROR(VALUE(X5),VALUE(REGEXREPLACE(T(X5),""[^0-9]"",""""))),Y5=""Change"",0,Y5&lt;&gt;""Change"","""")"),-10.0)</f>
        <v>-10</v>
      </c>
      <c r="N5" s="32">
        <f>IFERROR(__xludf.DUMMYFUNCTION("IF(Account!$F5&lt;&gt;"""", VALUE(REGEXREPLACE($I5, ""\,"", ""."")), """")"),524.23)</f>
        <v>524.23</v>
      </c>
      <c r="O5" s="33">
        <f>IF(Account!$F5&lt;&gt;"", DATEVALUE(MID($A5,4,3) &amp; LEFT($A5,3) &amp; RIGHT($A5,4)) + TIMEVALUE($B5), "")</f>
        <v>43773.48889</v>
      </c>
      <c r="P5" s="34">
        <f>IF(Account!$F5&lt;&gt;"", DATEVALUE(MID($C5,4,3) &amp; LEFT($C5,3) &amp; RIGHT($C5,4)), "")</f>
        <v>43773</v>
      </c>
      <c r="Q5" s="35" t="str">
        <f t="array" ref="Q5">IF($R5&lt;&gt;"",IFERROR(INDEX(ISIN!$B:$B,MATCH($R5,ISIN!$C:$C,0))),)</f>
        <v>Stocks</v>
      </c>
      <c r="R5" s="36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5" t="str">
        <f t="shared" si="1"/>
        <v>SELL</v>
      </c>
      <c r="T5" s="37">
        <f t="shared" si="2"/>
        <v>-10</v>
      </c>
      <c r="U5" s="38">
        <f t="shared" si="3"/>
        <v>52.423</v>
      </c>
      <c r="V5" s="32">
        <f t="shared" si="4"/>
        <v>524.23</v>
      </c>
      <c r="W5" s="39" t="str">
        <f>IFERROR(__xludf.DUMMYFUNCTION(" IF(Account!$F5&lt;&gt;"""", SPLIT(Account!$F5, "" ""), """")"),"Vente")</f>
        <v>Vente</v>
      </c>
      <c r="X5" s="54">
        <f>IFERROR(__xludf.DUMMYFUNCTION("""COMPUTED_VALUE"""),10.0)</f>
        <v>10</v>
      </c>
      <c r="Y5" s="54" t="str">
        <f>IFERROR(__xludf.DUMMYFUNCTION("""COMPUTED_VALUE"""),"VANGUARD")</f>
        <v>VANGUARD</v>
      </c>
      <c r="Z5" s="54" t="str">
        <f>IFERROR(__xludf.DUMMYFUNCTION("""COMPUTED_VALUE"""),"S&amp;P500@52,423")</f>
        <v>S&amp;P500@52,423</v>
      </c>
      <c r="AA5" s="54" t="str">
        <f>IFERROR(__xludf.DUMMYFUNCTION("""COMPUTED_VALUE"""),"EUR")</f>
        <v>EUR</v>
      </c>
      <c r="AB5" s="54" t="str">
        <f>IFERROR(__xludf.DUMMYFUNCTION("""COMPUTED_VALUE"""),"(IE00B3XXRP09)")</f>
        <v>(IE00B3XXRP09)</v>
      </c>
      <c r="AC5" s="54"/>
      <c r="AD5" s="54"/>
      <c r="AE5" s="54"/>
      <c r="AF5" s="54"/>
      <c r="AG5" s="54"/>
      <c r="AH5" s="54"/>
      <c r="AI5" s="54"/>
      <c r="AJ5" s="54"/>
      <c r="AK5" s="54"/>
    </row>
    <row r="6">
      <c r="A6" s="12" t="s">
        <v>66</v>
      </c>
      <c r="B6" s="12" t="s">
        <v>90</v>
      </c>
      <c r="C6" s="12" t="s">
        <v>66</v>
      </c>
      <c r="D6" s="12" t="s">
        <v>91</v>
      </c>
      <c r="E6" s="12" t="s">
        <v>92</v>
      </c>
      <c r="F6" s="13" t="s">
        <v>93</v>
      </c>
      <c r="G6" s="12"/>
      <c r="H6" s="12" t="s">
        <v>71</v>
      </c>
      <c r="I6" s="12" t="s">
        <v>94</v>
      </c>
      <c r="J6" s="12" t="s">
        <v>71</v>
      </c>
      <c r="K6" s="12" t="s">
        <v>95</v>
      </c>
      <c r="L6" s="13" t="s">
        <v>96</v>
      </c>
      <c r="M6" s="30">
        <f>IFERROR(__xludf.DUMMYFUNCTION("IFS(W6=""Achat"",IFERROR(VALUE(X6),VALUE(REGEXREPLACE(T(X6),""[^0-9]"",""""))),W6=""Vente"",-IFERROR(VALUE(X6),VALUE(REGEXREPLACE(T(X6),""[^0-9]"",""""))),Y6=""Change"",0,Y6&lt;&gt;""Change"","""")"),-562.0)</f>
        <v>-562</v>
      </c>
      <c r="N6" s="32">
        <f>IFERROR(__xludf.DUMMYFUNCTION("IF(Account!$F6&lt;&gt;"""", VALUE(REGEXREPLACE($I6, ""\,"", ""."")), """")"),4167.23)</f>
        <v>4167.23</v>
      </c>
      <c r="O6" s="33">
        <f>IF(Account!$F6&lt;&gt;"", DATEVALUE(MID($A6,4,3) &amp; LEFT($A6,3) &amp; RIGHT($A6,4)) + TIMEVALUE($B6), "")</f>
        <v>43773.47986</v>
      </c>
      <c r="P6" s="34">
        <f>IF(Account!$F6&lt;&gt;"", DATEVALUE(MID($C6,4,3) &amp; LEFT($C6,3) &amp; RIGHT($C6,4)), "")</f>
        <v>43773</v>
      </c>
      <c r="Q6" s="35" t="str">
        <f t="array" ref="Q6">IF($R6&lt;&gt;"",IFERROR(INDEX(ISIN!$B:$B,MATCH($R6,ISIN!$C:$C,0))),)</f>
        <v>Commodities</v>
      </c>
      <c r="R6" s="36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ETFS All Commodities ETC</v>
      </c>
      <c r="S6" s="35" t="str">
        <f t="shared" si="1"/>
        <v>SELL</v>
      </c>
      <c r="T6" s="37">
        <f t="shared" si="2"/>
        <v>-562</v>
      </c>
      <c r="U6" s="38">
        <f t="shared" si="3"/>
        <v>7.415</v>
      </c>
      <c r="V6" s="32">
        <f t="shared" si="4"/>
        <v>4167.23</v>
      </c>
      <c r="W6" s="39" t="str">
        <f>IFERROR(__xludf.DUMMYFUNCTION(" IF(Account!$F6&lt;&gt;"""", SPLIT(Account!$F6, "" ""), """")"),"Vente")</f>
        <v>Vente</v>
      </c>
      <c r="X6" s="54">
        <f>IFERROR(__xludf.DUMMYFUNCTION("""COMPUTED_VALUE"""),562.0)</f>
        <v>562</v>
      </c>
      <c r="Y6" s="54" t="str">
        <f>IFERROR(__xludf.DUMMYFUNCTION("""COMPUTED_VALUE"""),"ETFS")</f>
        <v>ETFS</v>
      </c>
      <c r="Z6" s="54" t="str">
        <f>IFERROR(__xludf.DUMMYFUNCTION("""COMPUTED_VALUE"""),"ALL")</f>
        <v>ALL</v>
      </c>
      <c r="AA6" s="54" t="str">
        <f>IFERROR(__xludf.DUMMYFUNCTION("""COMPUTED_VALUE"""),"COMMODIT.@7,415")</f>
        <v>COMMODIT.@7,415</v>
      </c>
      <c r="AB6" s="54" t="str">
        <f>IFERROR(__xludf.DUMMYFUNCTION("""COMPUTED_VALUE"""),"EUR")</f>
        <v>EUR</v>
      </c>
      <c r="AC6" s="54" t="str">
        <f>IFERROR(__xludf.DUMMYFUNCTION("""COMPUTED_VALUE"""),"(GB00B15KY989)")</f>
        <v>(GB00B15KY989)</v>
      </c>
      <c r="AD6" s="54"/>
      <c r="AE6" s="54"/>
      <c r="AF6" s="54"/>
      <c r="AG6" s="54"/>
      <c r="AH6" s="54"/>
      <c r="AI6" s="54"/>
      <c r="AJ6" s="54"/>
      <c r="AK6" s="54"/>
    </row>
    <row r="7">
      <c r="A7" s="12" t="s">
        <v>66</v>
      </c>
      <c r="B7" s="12" t="s">
        <v>97</v>
      </c>
      <c r="C7" s="12" t="s">
        <v>66</v>
      </c>
      <c r="D7" s="12" t="s">
        <v>68</v>
      </c>
      <c r="E7" s="12" t="s">
        <v>69</v>
      </c>
      <c r="F7" s="13" t="s">
        <v>98</v>
      </c>
      <c r="G7" s="12"/>
      <c r="H7" s="12" t="s">
        <v>71</v>
      </c>
      <c r="I7" s="12" t="s">
        <v>99</v>
      </c>
      <c r="J7" s="12" t="s">
        <v>71</v>
      </c>
      <c r="K7" s="12" t="s">
        <v>100</v>
      </c>
      <c r="L7" s="13" t="s">
        <v>101</v>
      </c>
      <c r="M7" s="30">
        <f>IFERROR(__xludf.DUMMYFUNCTION("IFS(W7=""Achat"",IFERROR(VALUE(X7),VALUE(REGEXREPLACE(T(X7),""[^0-9]"",""""))),W7=""Vente"",-IFERROR(VALUE(X7),VALUE(REGEXREPLACE(T(X7),""[^0-9]"",""""))),Y7=""Change"",0,Y7&lt;&gt;""Change"","""")"),-14.0)</f>
        <v>-14</v>
      </c>
      <c r="N7" s="32">
        <f>IFERROR(__xludf.DUMMYFUNCTION("IF(Account!$F7&lt;&gt;"""", VALUE(REGEXREPLACE($I7, ""\,"", ""."")), """")"),733.11)</f>
        <v>733.11</v>
      </c>
      <c r="O7" s="33">
        <f>IF(Account!$F7&lt;&gt;"", DATEVALUE(MID($A7,4,3) &amp; LEFT($A7,3) &amp; RIGHT($A7,4)) + TIMEVALUE($B7), "")</f>
        <v>43773.38542</v>
      </c>
      <c r="P7" s="34">
        <f>IF(Account!$F7&lt;&gt;"", DATEVALUE(MID($C7,4,3) &amp; LEFT($C7,3) &amp; RIGHT($C7,4)), "")</f>
        <v>43773</v>
      </c>
      <c r="Q7" s="35" t="str">
        <f t="array" ref="Q7">IF($R7&lt;&gt;"",IFERROR(INDEX(ISIN!$B:$B,MATCH($R7,ISIN!$C:$C,0))),)</f>
        <v>Stocks</v>
      </c>
      <c r="R7" s="36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Vanguard S&amp;P 500 UCITS</v>
      </c>
      <c r="S7" s="35" t="str">
        <f t="shared" si="1"/>
        <v>SELL</v>
      </c>
      <c r="T7" s="37">
        <f t="shared" si="2"/>
        <v>-14</v>
      </c>
      <c r="U7" s="38">
        <f t="shared" si="3"/>
        <v>52.365</v>
      </c>
      <c r="V7" s="32">
        <f t="shared" si="4"/>
        <v>733.11</v>
      </c>
      <c r="W7" s="39" t="str">
        <f>IFERROR(__xludf.DUMMYFUNCTION(" IF(Account!$F7&lt;&gt;"""", SPLIT(Account!$F7, "" ""), """")"),"Vente")</f>
        <v>Vente</v>
      </c>
      <c r="X7" s="54">
        <f>IFERROR(__xludf.DUMMYFUNCTION("""COMPUTED_VALUE"""),14.0)</f>
        <v>14</v>
      </c>
      <c r="Y7" s="54" t="str">
        <f>IFERROR(__xludf.DUMMYFUNCTION("""COMPUTED_VALUE"""),"VANGUARD")</f>
        <v>VANGUARD</v>
      </c>
      <c r="Z7" s="54" t="str">
        <f>IFERROR(__xludf.DUMMYFUNCTION("""COMPUTED_VALUE"""),"S&amp;P500@52,365")</f>
        <v>S&amp;P500@52,365</v>
      </c>
      <c r="AA7" s="54" t="str">
        <f>IFERROR(__xludf.DUMMYFUNCTION("""COMPUTED_VALUE"""),"EUR")</f>
        <v>EUR</v>
      </c>
      <c r="AB7" s="54" t="str">
        <f>IFERROR(__xludf.DUMMYFUNCTION("""COMPUTED_VALUE"""),"(IE00B3XXRP09)")</f>
        <v>(IE00B3XXRP09)</v>
      </c>
      <c r="AC7" s="54"/>
      <c r="AD7" s="54"/>
      <c r="AE7" s="54"/>
      <c r="AF7" s="54"/>
      <c r="AG7" s="54"/>
      <c r="AH7" s="54"/>
      <c r="AI7" s="54"/>
      <c r="AJ7" s="54"/>
      <c r="AK7" s="54"/>
    </row>
    <row r="8">
      <c r="A8" s="12" t="s">
        <v>66</v>
      </c>
      <c r="B8" s="12" t="s">
        <v>102</v>
      </c>
      <c r="C8" s="12" t="s">
        <v>66</v>
      </c>
      <c r="D8" s="12" t="s">
        <v>68</v>
      </c>
      <c r="E8" s="12" t="s">
        <v>69</v>
      </c>
      <c r="F8" s="13" t="s">
        <v>103</v>
      </c>
      <c r="G8" s="12"/>
      <c r="H8" s="12" t="s">
        <v>71</v>
      </c>
      <c r="I8" s="12" t="s">
        <v>104</v>
      </c>
      <c r="J8" s="12" t="s">
        <v>71</v>
      </c>
      <c r="K8" s="12" t="s">
        <v>105</v>
      </c>
      <c r="L8" s="13" t="s">
        <v>101</v>
      </c>
      <c r="M8" s="30">
        <f>IFERROR(__xludf.DUMMYFUNCTION("IFS(W8=""Achat"",IFERROR(VALUE(X8),VALUE(REGEXREPLACE(T(X8),""[^0-9]"",""""))),W8=""Vente"",-IFERROR(VALUE(X8),VALUE(REGEXREPLACE(T(X8),""[^0-9]"",""""))),Y8=""Change"",0,Y8&lt;&gt;""Change"","""")"),-7.0)</f>
        <v>-7</v>
      </c>
      <c r="N8" s="32">
        <f>IFERROR(__xludf.DUMMYFUNCTION("IF(Account!$F8&lt;&gt;"""", VALUE(REGEXREPLACE($I8, ""\,"", ""."")), """")"),366.56)</f>
        <v>366.56</v>
      </c>
      <c r="O8" s="33">
        <f>IF(Account!$F8&lt;&gt;"", DATEVALUE(MID($A8,4,3) &amp; LEFT($A8,3) &amp; RIGHT($A8,4)) + TIMEVALUE($B8), "")</f>
        <v>43773.38333</v>
      </c>
      <c r="P8" s="34">
        <f>IF(Account!$F8&lt;&gt;"", DATEVALUE(MID($C8,4,3) &amp; LEFT($C8,3) &amp; RIGHT($C8,4)), "")</f>
        <v>43773</v>
      </c>
      <c r="Q8" s="35" t="str">
        <f t="array" ref="Q8">IF($R8&lt;&gt;"",IFERROR(INDEX(ISIN!$B:$B,MATCH($R8,ISIN!$C:$C,0))),)</f>
        <v>Stocks</v>
      </c>
      <c r="R8" s="36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>Vanguard S&amp;P 500 UCITS</v>
      </c>
      <c r="S8" s="35" t="str">
        <f t="shared" si="1"/>
        <v>SELL</v>
      </c>
      <c r="T8" s="37">
        <f t="shared" si="2"/>
        <v>-7</v>
      </c>
      <c r="U8" s="38">
        <f t="shared" si="3"/>
        <v>52.36571429</v>
      </c>
      <c r="V8" s="32">
        <f t="shared" si="4"/>
        <v>366.56</v>
      </c>
      <c r="W8" s="39" t="str">
        <f>IFERROR(__xludf.DUMMYFUNCTION(" IF(Account!$F8&lt;&gt;"""", SPLIT(Account!$F8, "" ""), """")"),"Vente")</f>
        <v>Vente</v>
      </c>
      <c r="X8" s="54">
        <f>IFERROR(__xludf.DUMMYFUNCTION("""COMPUTED_VALUE"""),7.0)</f>
        <v>7</v>
      </c>
      <c r="Y8" s="54" t="str">
        <f>IFERROR(__xludf.DUMMYFUNCTION("""COMPUTED_VALUE"""),"VANGUARD")</f>
        <v>VANGUARD</v>
      </c>
      <c r="Z8" s="54" t="str">
        <f>IFERROR(__xludf.DUMMYFUNCTION("""COMPUTED_VALUE"""),"S&amp;P500@52,365")</f>
        <v>S&amp;P500@52,365</v>
      </c>
      <c r="AA8" s="54" t="str">
        <f>IFERROR(__xludf.DUMMYFUNCTION("""COMPUTED_VALUE"""),"EUR")</f>
        <v>EUR</v>
      </c>
      <c r="AB8" s="54" t="str">
        <f>IFERROR(__xludf.DUMMYFUNCTION("""COMPUTED_VALUE"""),"(IE00B3XXRP09)")</f>
        <v>(IE00B3XXRP09)</v>
      </c>
      <c r="AC8" s="54"/>
      <c r="AD8" s="54"/>
      <c r="AE8" s="54"/>
      <c r="AF8" s="54"/>
      <c r="AG8" s="54"/>
      <c r="AH8" s="54"/>
      <c r="AI8" s="54"/>
      <c r="AJ8" s="54"/>
      <c r="AK8" s="54"/>
    </row>
    <row r="9">
      <c r="A9" s="12" t="s">
        <v>66</v>
      </c>
      <c r="B9" s="12" t="s">
        <v>106</v>
      </c>
      <c r="C9" s="12" t="s">
        <v>66</v>
      </c>
      <c r="D9" s="12" t="s">
        <v>68</v>
      </c>
      <c r="E9" s="12" t="s">
        <v>69</v>
      </c>
      <c r="F9" s="13" t="s">
        <v>107</v>
      </c>
      <c r="G9" s="12"/>
      <c r="H9" s="12" t="s">
        <v>71</v>
      </c>
      <c r="I9" s="12" t="s">
        <v>108</v>
      </c>
      <c r="J9" s="12" t="s">
        <v>71</v>
      </c>
      <c r="K9" s="12" t="s">
        <v>109</v>
      </c>
      <c r="L9" s="13" t="s">
        <v>110</v>
      </c>
      <c r="M9" s="30">
        <f>IFERROR(__xludf.DUMMYFUNCTION("IFS(W9=""Achat"",IFERROR(VALUE(X9),VALUE(REGEXREPLACE(T(X9),""[^0-9]"",""""))),W9=""Vente"",-IFERROR(VALUE(X9),VALUE(REGEXREPLACE(T(X9),""[^0-9]"",""""))),Y9=""Change"",0,Y9&lt;&gt;""Change"","""")"),-24.0)</f>
        <v>-24</v>
      </c>
      <c r="N9" s="32">
        <f>IFERROR(__xludf.DUMMYFUNCTION("IF(Account!$F9&lt;&gt;"""", VALUE(REGEXREPLACE($I9, ""\,"", ""."")), """")"),1254.72)</f>
        <v>1254.72</v>
      </c>
      <c r="O9" s="33">
        <f>IF(Account!$F9&lt;&gt;"", DATEVALUE(MID($A9,4,3) &amp; LEFT($A9,3) &amp; RIGHT($A9,4)) + TIMEVALUE($B9), "")</f>
        <v>43773.38056</v>
      </c>
      <c r="P9" s="34">
        <f>IF(Account!$F9&lt;&gt;"", DATEVALUE(MID($C9,4,3) &amp; LEFT($C9,3) &amp; RIGHT($C9,4)), "")</f>
        <v>43773</v>
      </c>
      <c r="Q9" s="35" t="str">
        <f t="array" ref="Q9">IF($R9&lt;&gt;"",IFERROR(INDEX(ISIN!$B:$B,MATCH($R9,ISIN!$C:$C,0))),)</f>
        <v>Stocks</v>
      </c>
      <c r="R9" s="36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Vanguard S&amp;P 500 UCITS</v>
      </c>
      <c r="S9" s="35" t="str">
        <f t="shared" si="1"/>
        <v>SELL</v>
      </c>
      <c r="T9" s="37">
        <f t="shared" si="2"/>
        <v>-24</v>
      </c>
      <c r="U9" s="38">
        <f t="shared" si="3"/>
        <v>52.28</v>
      </c>
      <c r="V9" s="32">
        <f t="shared" si="4"/>
        <v>1254.72</v>
      </c>
      <c r="W9" s="39" t="str">
        <f>IFERROR(__xludf.DUMMYFUNCTION(" IF(Account!$F9&lt;&gt;"""", SPLIT(Account!$F9, "" ""), """")"),"Vente")</f>
        <v>Vente</v>
      </c>
      <c r="X9" s="54">
        <f>IFERROR(__xludf.DUMMYFUNCTION("""COMPUTED_VALUE"""),24.0)</f>
        <v>24</v>
      </c>
      <c r="Y9" s="54" t="str">
        <f>IFERROR(__xludf.DUMMYFUNCTION("""COMPUTED_VALUE"""),"VANGUARD")</f>
        <v>VANGUARD</v>
      </c>
      <c r="Z9" s="54" t="str">
        <f>IFERROR(__xludf.DUMMYFUNCTION("""COMPUTED_VALUE"""),"S&amp;P500@52,28")</f>
        <v>S&amp;P500@52,28</v>
      </c>
      <c r="AA9" s="54" t="str">
        <f>IFERROR(__xludf.DUMMYFUNCTION("""COMPUTED_VALUE"""),"EUR")</f>
        <v>EUR</v>
      </c>
      <c r="AB9" s="54" t="str">
        <f>IFERROR(__xludf.DUMMYFUNCTION("""COMPUTED_VALUE"""),"(IE00B3XXRP09)")</f>
        <v>(IE00B3XXRP09)</v>
      </c>
      <c r="AC9" s="54"/>
      <c r="AD9" s="54"/>
      <c r="AE9" s="54"/>
      <c r="AF9" s="54"/>
      <c r="AG9" s="54"/>
      <c r="AH9" s="54"/>
      <c r="AI9" s="54"/>
      <c r="AJ9" s="54"/>
      <c r="AK9" s="54"/>
    </row>
    <row r="10">
      <c r="A10" s="12" t="s">
        <v>111</v>
      </c>
      <c r="B10" s="12" t="s">
        <v>112</v>
      </c>
      <c r="C10" s="12" t="s">
        <v>111</v>
      </c>
      <c r="D10" s="12"/>
      <c r="E10" s="12"/>
      <c r="F10" s="13" t="s">
        <v>113</v>
      </c>
      <c r="G10" s="12"/>
      <c r="H10" s="12" t="s">
        <v>71</v>
      </c>
      <c r="I10" s="12" t="s">
        <v>114</v>
      </c>
      <c r="J10" s="12" t="s">
        <v>71</v>
      </c>
      <c r="K10" s="12" t="s">
        <v>115</v>
      </c>
      <c r="L10" s="13"/>
      <c r="M10" s="30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2">
        <f>IFERROR(__xludf.DUMMYFUNCTION("IF(Account!$F10&lt;&gt;"""", VALUE(REGEXREPLACE($I10, ""\,"", ""."")), """")"),-13700.0)</f>
        <v>-13700</v>
      </c>
      <c r="O10" s="33">
        <f>IF(Account!$F10&lt;&gt;"", DATEVALUE(MID($A10,4,3) &amp; LEFT($A10,3) &amp; RIGHT($A10,4)) + TIMEVALUE($B10), "")</f>
        <v>43770.48125</v>
      </c>
      <c r="P10" s="34">
        <f>IF(Account!$F10&lt;&gt;"", DATEVALUE(MID($C10,4,3) &amp; LEFT($C10,3) &amp; RIGHT($C10,4)), "")</f>
        <v>43770</v>
      </c>
      <c r="Q10" s="35" t="str">
        <f t="array" ref="Q10">IF($R10&lt;&gt;"",IFERROR(INDEX(ISIN!$B:$B,MATCH($R10,ISIN!$C:$C,0))),)</f>
        <v/>
      </c>
      <c r="R10" s="36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5" t="str">
        <f t="shared" si="1"/>
        <v>APPROVISIONNEMENT</v>
      </c>
      <c r="T10" s="37" t="str">
        <f t="shared" si="2"/>
        <v/>
      </c>
      <c r="U10" s="38" t="str">
        <f t="shared" si="3"/>
        <v/>
      </c>
      <c r="V10" s="32">
        <f t="shared" si="4"/>
        <v>-13700</v>
      </c>
      <c r="W10" s="39" t="str">
        <f>IFERROR(__xludf.DUMMYFUNCTION(" IF(Account!$F10&lt;&gt;"""", SPLIT(Account!$F10, "" ""), """")"),"Retrait")</f>
        <v>Retrait</v>
      </c>
      <c r="X10" s="54" t="str">
        <f>IFERROR(__xludf.DUMMYFUNCTION("""COMPUTED_VALUE"""),"de")</f>
        <v>de</v>
      </c>
      <c r="Y10" s="54" t="str">
        <f>IFERROR(__xludf.DUMMYFUNCTION("""COMPUTED_VALUE"""),"fonds")</f>
        <v>fonds</v>
      </c>
      <c r="Z10" s="54" t="str">
        <f>IFERROR(__xludf.DUMMYFUNCTION("""COMPUTED_VALUE"""),"en")</f>
        <v>en</v>
      </c>
      <c r="AA10" s="54" t="str">
        <f>IFERROR(__xludf.DUMMYFUNCTION("""COMPUTED_VALUE"""),"cours")</f>
        <v>cours</v>
      </c>
      <c r="AB10" s="54"/>
      <c r="AC10" s="54"/>
      <c r="AD10" s="54"/>
      <c r="AE10" s="54"/>
      <c r="AF10" s="54"/>
      <c r="AG10" s="54"/>
      <c r="AH10" s="54"/>
      <c r="AI10" s="54"/>
      <c r="AJ10" s="54"/>
      <c r="AK10" s="54"/>
    </row>
    <row r="11">
      <c r="A11" s="12" t="s">
        <v>142</v>
      </c>
      <c r="B11" s="12" t="s">
        <v>143</v>
      </c>
      <c r="C11" s="12" t="s">
        <v>142</v>
      </c>
      <c r="D11" s="12" t="s">
        <v>68</v>
      </c>
      <c r="E11" s="12" t="s">
        <v>69</v>
      </c>
      <c r="F11" s="13" t="s">
        <v>144</v>
      </c>
      <c r="G11" s="12"/>
      <c r="H11" s="12" t="s">
        <v>71</v>
      </c>
      <c r="I11" s="12" t="s">
        <v>145</v>
      </c>
      <c r="J11" s="12" t="s">
        <v>71</v>
      </c>
      <c r="K11" s="12" t="s">
        <v>146</v>
      </c>
      <c r="L11" s="13" t="s">
        <v>147</v>
      </c>
      <c r="M11" s="30">
        <f>IFERROR(__xludf.DUMMYFUNCTION("IFS(W11=""Achat"",IFERROR(VALUE(X11),VALUE(REGEXREPLACE(T(X11),""[^0-9]"",""""))),W11=""Vente"",-IFERROR(VALUE(X11),VALUE(REGEXREPLACE(T(X11),""[^0-9]"",""""))),Y11=""Change"",0,Y11&lt;&gt;""Change"","""")"),-22.0)</f>
        <v>-22</v>
      </c>
      <c r="N11" s="32">
        <f>IFERROR(__xludf.DUMMYFUNCTION("IF(Account!$F11&lt;&gt;"""", VALUE(REGEXREPLACE($I11, ""\,"", ""."")), """")"),1140.7)</f>
        <v>1140.7</v>
      </c>
      <c r="O11" s="33">
        <f>IF(Account!$F11&lt;&gt;"", DATEVALUE(MID($A11,4,3) &amp; LEFT($A11,3) &amp; RIGHT($A11,4)) + TIMEVALUE($B11), "")</f>
        <v>43766.56944</v>
      </c>
      <c r="P11" s="34">
        <f>IF(Account!$F11&lt;&gt;"", DATEVALUE(MID($C11,4,3) &amp; LEFT($C11,3) &amp; RIGHT($C11,4)), "")</f>
        <v>43766</v>
      </c>
      <c r="Q11" s="35" t="str">
        <f t="array" ref="Q11">IF($R11&lt;&gt;"",IFERROR(INDEX(ISIN!$B:$B,MATCH($R11,ISIN!$C:$C,0))),)</f>
        <v>Stocks</v>
      </c>
      <c r="R11" s="36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Vanguard S&amp;P 500 UCITS</v>
      </c>
      <c r="S11" s="35" t="str">
        <f t="shared" si="1"/>
        <v>SELL</v>
      </c>
      <c r="T11" s="37">
        <f t="shared" si="2"/>
        <v>-22</v>
      </c>
      <c r="U11" s="38">
        <f t="shared" si="3"/>
        <v>51.85</v>
      </c>
      <c r="V11" s="32">
        <f t="shared" si="4"/>
        <v>1140.7</v>
      </c>
      <c r="W11" s="39" t="str">
        <f>IFERROR(__xludf.DUMMYFUNCTION(" IF(Account!$F11&lt;&gt;"""", SPLIT(Account!$F11, "" ""), """")"),"Vente")</f>
        <v>Vente</v>
      </c>
      <c r="X11" s="54">
        <f>IFERROR(__xludf.DUMMYFUNCTION("""COMPUTED_VALUE"""),22.0)</f>
        <v>22</v>
      </c>
      <c r="Y11" s="54" t="str">
        <f>IFERROR(__xludf.DUMMYFUNCTION("""COMPUTED_VALUE"""),"VANGUARD")</f>
        <v>VANGUARD</v>
      </c>
      <c r="Z11" s="54" t="str">
        <f>IFERROR(__xludf.DUMMYFUNCTION("""COMPUTED_VALUE"""),"S&amp;P500@51,85")</f>
        <v>S&amp;P500@51,85</v>
      </c>
      <c r="AA11" s="54" t="str">
        <f>IFERROR(__xludf.DUMMYFUNCTION("""COMPUTED_VALUE"""),"EUR")</f>
        <v>EUR</v>
      </c>
      <c r="AB11" s="54" t="str">
        <f>IFERROR(__xludf.DUMMYFUNCTION("""COMPUTED_VALUE"""),"(IE00B3XXRP09)")</f>
        <v>(IE00B3XXRP09)</v>
      </c>
      <c r="AC11" s="54"/>
      <c r="AD11" s="54"/>
      <c r="AE11" s="54"/>
      <c r="AF11" s="54"/>
      <c r="AG11" s="54"/>
      <c r="AH11" s="54"/>
      <c r="AI11" s="54"/>
      <c r="AJ11" s="54"/>
      <c r="AK11" s="54"/>
    </row>
    <row r="12">
      <c r="A12" s="12" t="s">
        <v>142</v>
      </c>
      <c r="B12" s="12" t="s">
        <v>159</v>
      </c>
      <c r="C12" s="12" t="s">
        <v>142</v>
      </c>
      <c r="D12" s="12" t="s">
        <v>68</v>
      </c>
      <c r="E12" s="12" t="s">
        <v>69</v>
      </c>
      <c r="F12" s="13" t="s">
        <v>162</v>
      </c>
      <c r="G12" s="12"/>
      <c r="H12" s="12" t="s">
        <v>71</v>
      </c>
      <c r="I12" s="12" t="s">
        <v>163</v>
      </c>
      <c r="J12" s="12" t="s">
        <v>71</v>
      </c>
      <c r="K12" s="12" t="s">
        <v>164</v>
      </c>
      <c r="L12" s="13" t="s">
        <v>147</v>
      </c>
      <c r="M12" s="30">
        <f>IFERROR(__xludf.DUMMYFUNCTION("IFS(W12=""Achat"",IFERROR(VALUE(X12),VALUE(REGEXREPLACE(T(X12),""[^0-9]"",""""))),W12=""Vente"",-IFERROR(VALUE(X12),VALUE(REGEXREPLACE(T(X12),""[^0-9]"",""""))),Y12=""Change"",0,Y12&lt;&gt;""Change"","""")"),-20.0)</f>
        <v>-20</v>
      </c>
      <c r="N12" s="32">
        <f>IFERROR(__xludf.DUMMYFUNCTION("IF(Account!$F12&lt;&gt;"""", VALUE(REGEXREPLACE($I12, ""\,"", ""."")), """")"),1037.0)</f>
        <v>1037</v>
      </c>
      <c r="O12" s="33">
        <f>IF(Account!$F12&lt;&gt;"", DATEVALUE(MID($A12,4,3) &amp; LEFT($A12,3) &amp; RIGHT($A12,4)) + TIMEVALUE($B12), "")</f>
        <v>43766.56736</v>
      </c>
      <c r="P12" s="34">
        <f>IF(Account!$F12&lt;&gt;"", DATEVALUE(MID($C12,4,3) &amp; LEFT($C12,3) &amp; RIGHT($C12,4)), "")</f>
        <v>43766</v>
      </c>
      <c r="Q12" s="35" t="str">
        <f t="array" ref="Q12">IF($R12&lt;&gt;"",IFERROR(INDEX(ISIN!$B:$B,MATCH($R12,ISIN!$C:$C,0))),)</f>
        <v>Stocks</v>
      </c>
      <c r="R12" s="36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5" t="str">
        <f t="shared" si="1"/>
        <v>SELL</v>
      </c>
      <c r="T12" s="37">
        <f t="shared" si="2"/>
        <v>-20</v>
      </c>
      <c r="U12" s="38">
        <f t="shared" si="3"/>
        <v>51.85</v>
      </c>
      <c r="V12" s="32">
        <f t="shared" si="4"/>
        <v>1037</v>
      </c>
      <c r="W12" s="39" t="str">
        <f>IFERROR(__xludf.DUMMYFUNCTION(" IF(Account!$F12&lt;&gt;"""", SPLIT(Account!$F12, "" ""), """")"),"Vente")</f>
        <v>Vente</v>
      </c>
      <c r="X12" s="54">
        <f>IFERROR(__xludf.DUMMYFUNCTION("""COMPUTED_VALUE"""),20.0)</f>
        <v>20</v>
      </c>
      <c r="Y12" s="54" t="str">
        <f>IFERROR(__xludf.DUMMYFUNCTION("""COMPUTED_VALUE"""),"VANGUARD")</f>
        <v>VANGUARD</v>
      </c>
      <c r="Z12" s="54" t="str">
        <f>IFERROR(__xludf.DUMMYFUNCTION("""COMPUTED_VALUE"""),"S&amp;P500@51,85")</f>
        <v>S&amp;P500@51,85</v>
      </c>
      <c r="AA12" s="54" t="str">
        <f>IFERROR(__xludf.DUMMYFUNCTION("""COMPUTED_VALUE"""),"EUR")</f>
        <v>EUR</v>
      </c>
      <c r="AB12" s="54" t="str">
        <f>IFERROR(__xludf.DUMMYFUNCTION("""COMPUTED_VALUE"""),"(IE00B3XXRP09)")</f>
        <v>(IE00B3XXRP09)</v>
      </c>
      <c r="AC12" s="54"/>
      <c r="AD12" s="54"/>
      <c r="AE12" s="54"/>
      <c r="AF12" s="54"/>
      <c r="AG12" s="54"/>
      <c r="AH12" s="54"/>
      <c r="AI12" s="54"/>
      <c r="AJ12" s="54"/>
      <c r="AK12" s="54"/>
    </row>
    <row r="13">
      <c r="A13" s="12" t="s">
        <v>142</v>
      </c>
      <c r="B13" s="12" t="s">
        <v>170</v>
      </c>
      <c r="C13" s="12" t="s">
        <v>142</v>
      </c>
      <c r="D13" s="12" t="s">
        <v>68</v>
      </c>
      <c r="E13" s="12" t="s">
        <v>69</v>
      </c>
      <c r="F13" s="13" t="s">
        <v>171</v>
      </c>
      <c r="G13" s="12"/>
      <c r="H13" s="12" t="s">
        <v>71</v>
      </c>
      <c r="I13" s="12" t="s">
        <v>172</v>
      </c>
      <c r="J13" s="12" t="s">
        <v>71</v>
      </c>
      <c r="K13" s="12" t="s">
        <v>173</v>
      </c>
      <c r="L13" s="13" t="s">
        <v>147</v>
      </c>
      <c r="M13" s="30">
        <f>IFERROR(__xludf.DUMMYFUNCTION("IFS(W13=""Achat"",IFERROR(VALUE(X13),VALUE(REGEXREPLACE(T(X13),""[^0-9]"",""""))),W13=""Vente"",-IFERROR(VALUE(X13),VALUE(REGEXREPLACE(T(X13),""[^0-9]"",""""))),Y13=""Change"",0,Y13&lt;&gt;""Change"","""")"),-5.0)</f>
        <v>-5</v>
      </c>
      <c r="N13" s="32">
        <f>IFERROR(__xludf.DUMMYFUNCTION("IF(Account!$F13&lt;&gt;"""", VALUE(REGEXREPLACE($I13, ""\,"", ""."")), """")"),259.25)</f>
        <v>259.25</v>
      </c>
      <c r="O13" s="33">
        <f>IF(Account!$F13&lt;&gt;"", DATEVALUE(MID($A13,4,3) &amp; LEFT($A13,3) &amp; RIGHT($A13,4)) + TIMEVALUE($B13), "")</f>
        <v>43766.56597</v>
      </c>
      <c r="P13" s="34">
        <f>IF(Account!$F13&lt;&gt;"", DATEVALUE(MID($C13,4,3) &amp; LEFT($C13,3) &amp; RIGHT($C13,4)), "")</f>
        <v>43766</v>
      </c>
      <c r="Q13" s="35" t="str">
        <f t="array" ref="Q13">IF($R13&lt;&gt;"",IFERROR(INDEX(ISIN!$B:$B,MATCH($R13,ISIN!$C:$C,0))),)</f>
        <v>Stocks</v>
      </c>
      <c r="R13" s="36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5" t="str">
        <f t="shared" si="1"/>
        <v>SELL</v>
      </c>
      <c r="T13" s="37">
        <f t="shared" si="2"/>
        <v>-5</v>
      </c>
      <c r="U13" s="38">
        <f t="shared" si="3"/>
        <v>51.85</v>
      </c>
      <c r="V13" s="32">
        <f t="shared" si="4"/>
        <v>259.25</v>
      </c>
      <c r="W13" s="39" t="str">
        <f>IFERROR(__xludf.DUMMYFUNCTION(" IF(Account!$F13&lt;&gt;"""", SPLIT(Account!$F13, "" ""), """")"),"Vente")</f>
        <v>Vente</v>
      </c>
      <c r="X13" s="54">
        <f>IFERROR(__xludf.DUMMYFUNCTION("""COMPUTED_VALUE"""),5.0)</f>
        <v>5</v>
      </c>
      <c r="Y13" s="54" t="str">
        <f>IFERROR(__xludf.DUMMYFUNCTION("""COMPUTED_VALUE"""),"VANGUARD")</f>
        <v>VANGUARD</v>
      </c>
      <c r="Z13" s="54" t="str">
        <f>IFERROR(__xludf.DUMMYFUNCTION("""COMPUTED_VALUE"""),"S&amp;P500@51,85")</f>
        <v>S&amp;P500@51,85</v>
      </c>
      <c r="AA13" s="54" t="str">
        <f>IFERROR(__xludf.DUMMYFUNCTION("""COMPUTED_VALUE"""),"EUR")</f>
        <v>EUR</v>
      </c>
      <c r="AB13" s="54" t="str">
        <f>IFERROR(__xludf.DUMMYFUNCTION("""COMPUTED_VALUE"""),"(IE00B3XXRP09)")</f>
        <v>(IE00B3XXRP09)</v>
      </c>
      <c r="AC13" s="54"/>
      <c r="AD13" s="54"/>
      <c r="AE13" s="54"/>
      <c r="AF13" s="54"/>
      <c r="AG13" s="54"/>
      <c r="AH13" s="54"/>
      <c r="AI13" s="54"/>
      <c r="AJ13" s="54"/>
      <c r="AK13" s="54"/>
    </row>
    <row r="14">
      <c r="A14" s="12" t="s">
        <v>180</v>
      </c>
      <c r="B14" s="12" t="s">
        <v>181</v>
      </c>
      <c r="C14" s="12" t="s">
        <v>180</v>
      </c>
      <c r="D14" s="12"/>
      <c r="E14" s="12"/>
      <c r="F14" s="13" t="s">
        <v>182</v>
      </c>
      <c r="G14" s="12"/>
      <c r="H14" s="12" t="s">
        <v>71</v>
      </c>
      <c r="I14" s="12" t="s">
        <v>183</v>
      </c>
      <c r="J14" s="12" t="s">
        <v>71</v>
      </c>
      <c r="K14" s="12" t="s">
        <v>184</v>
      </c>
      <c r="L14" s="13"/>
      <c r="M14" s="30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2">
        <f>IFERROR(__xludf.DUMMYFUNCTION("IF(Account!$F14&lt;&gt;"""", VALUE(REGEXREPLACE($I14, ""\,"", ""."")), """")"),-200.0)</f>
        <v>-200</v>
      </c>
      <c r="O14" s="33">
        <f>IF(Account!$F14&lt;&gt;"", DATEVALUE(MID($A14,4,3) &amp; LEFT($A14,3) &amp; RIGHT($A14,4)) + TIMEVALUE($B14), "")</f>
        <v>43753.46528</v>
      </c>
      <c r="P14" s="34">
        <f>IF(Account!$F14&lt;&gt;"", DATEVALUE(MID($C14,4,3) &amp; LEFT($C14,3) &amp; RIGHT($C14,4)), "")</f>
        <v>43753</v>
      </c>
      <c r="Q14" s="35" t="str">
        <f t="array" ref="Q14">IF($R14&lt;&gt;"",IFERROR(INDEX(ISIN!$B:$B,MATCH($R14,ISIN!$C:$C,0))),)</f>
        <v/>
      </c>
      <c r="R14" s="36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5" t="str">
        <f t="shared" si="1"/>
        <v>APPROVISIONNEMENT</v>
      </c>
      <c r="T14" s="37" t="str">
        <f t="shared" si="2"/>
        <v/>
      </c>
      <c r="U14" s="38" t="str">
        <f t="shared" si="3"/>
        <v/>
      </c>
      <c r="V14" s="32">
        <f t="shared" si="4"/>
        <v>-200</v>
      </c>
      <c r="W14" s="39" t="str">
        <f>IFERROR(__xludf.DUMMYFUNCTION(" IF(Account!$F14&lt;&gt;"""", SPLIT(Account!$F14, "" ""), """")"),"Retrait")</f>
        <v>Retrait</v>
      </c>
      <c r="X14" s="54" t="str">
        <f>IFERROR(__xludf.DUMMYFUNCTION("""COMPUTED_VALUE"""),"de")</f>
        <v>de</v>
      </c>
      <c r="Y14" s="54" t="str">
        <f>IFERROR(__xludf.DUMMYFUNCTION("""COMPUTED_VALUE"""),"fonds")</f>
        <v>fonds</v>
      </c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5">
      <c r="A15" s="12" t="s">
        <v>192</v>
      </c>
      <c r="B15" s="12" t="s">
        <v>193</v>
      </c>
      <c r="C15" s="12" t="s">
        <v>194</v>
      </c>
      <c r="D15" s="12"/>
      <c r="E15" s="12"/>
      <c r="F15" s="13" t="s">
        <v>195</v>
      </c>
      <c r="G15" s="12"/>
      <c r="H15" s="12" t="s">
        <v>71</v>
      </c>
      <c r="I15" s="12" t="s">
        <v>196</v>
      </c>
      <c r="J15" s="12" t="s">
        <v>71</v>
      </c>
      <c r="K15" s="12" t="s">
        <v>197</v>
      </c>
      <c r="L15" s="13"/>
      <c r="M15" s="30">
        <f>IFERROR(__xludf.DUMMYFUNCTION("IFS(W15=""Achat"",IFERROR(VALUE(X15),VALUE(REGEXREPLACE(T(X15),""[^0-9]"",""""))),W15=""Vente"",-IFERROR(VALUE(X15),VALUE(REGEXREPLACE(T(X15),""[^0-9]"",""""))),Y15=""Change"",0,Y15&lt;&gt;""Change"","""")"),0.0)</f>
        <v>0</v>
      </c>
      <c r="N15" s="32">
        <f>IFERROR(__xludf.DUMMYFUNCTION("IF(Account!$F15&lt;&gt;"""", VALUE(REGEXREPLACE($I15, ""\,"", ""."")), """")"),821.64)</f>
        <v>821.64</v>
      </c>
      <c r="O15" s="33">
        <f>IF(Account!$F15&lt;&gt;"", DATEVALUE(MID($A15,4,3) &amp; LEFT($A15,3) &amp; RIGHT($A15,4)) + TIMEVALUE($B15), "")</f>
        <v>43748.29722</v>
      </c>
      <c r="P15" s="34">
        <f>IF(Account!$F15&lt;&gt;"", DATEVALUE(MID($C15,4,3) &amp; LEFT($C15,3) &amp; RIGHT($C15,4)), "")</f>
        <v>43747</v>
      </c>
      <c r="Q15" s="35" t="str">
        <f t="array" ref="Q15">IF($R15&lt;&gt;"",IFERROR(INDEX(ISIN!$B:$B,MATCH($R15,ISIN!$C:$C,0))),)</f>
        <v>Stocks</v>
      </c>
      <c r="R15" s="36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Vanguard S&amp;P 500 UCITS</v>
      </c>
      <c r="S15" s="35" t="str">
        <f t="shared" si="1"/>
        <v>DIVIDEND</v>
      </c>
      <c r="T15" s="37" t="str">
        <f t="shared" si="2"/>
        <v/>
      </c>
      <c r="U15" s="38" t="str">
        <f t="shared" si="3"/>
        <v/>
      </c>
      <c r="V15" s="32">
        <f t="shared" si="4"/>
        <v>-80.78</v>
      </c>
      <c r="W15" s="39" t="str">
        <f>IFERROR(__xludf.DUMMYFUNCTION(" IF(Account!$F15&lt;&gt;"""", SPLIT(Account!$F15, "" ""), """")"),"Operation")</f>
        <v>Operation</v>
      </c>
      <c r="X15" s="54" t="str">
        <f>IFERROR(__xludf.DUMMYFUNCTION("""COMPUTED_VALUE"""),"de")</f>
        <v>de</v>
      </c>
      <c r="Y15" s="54" t="str">
        <f>IFERROR(__xludf.DUMMYFUNCTION("""COMPUTED_VALUE"""),"change")</f>
        <v>change</v>
      </c>
      <c r="Z15" s="54" t="str">
        <f>IFERROR(__xludf.DUMMYFUNCTION("""COMPUTED_VALUE"""),"-")</f>
        <v>-</v>
      </c>
      <c r="AA15" s="54" t="str">
        <f>IFERROR(__xludf.DUMMYFUNCTION("""COMPUTED_VALUE"""),"Crédit")</f>
        <v>Crédit</v>
      </c>
      <c r="AB15" s="54"/>
      <c r="AC15" s="54"/>
      <c r="AD15" s="54"/>
      <c r="AE15" s="54"/>
      <c r="AF15" s="54"/>
      <c r="AG15" s="54"/>
      <c r="AH15" s="54"/>
      <c r="AI15" s="54"/>
      <c r="AJ15" s="54"/>
      <c r="AK15" s="54"/>
    </row>
    <row r="16">
      <c r="A16" s="12" t="s">
        <v>192</v>
      </c>
      <c r="B16" s="12" t="s">
        <v>193</v>
      </c>
      <c r="C16" s="12" t="s">
        <v>194</v>
      </c>
      <c r="D16" s="12"/>
      <c r="E16" s="12"/>
      <c r="F16" s="13" t="s">
        <v>202</v>
      </c>
      <c r="G16" s="12" t="s">
        <v>203</v>
      </c>
      <c r="H16" s="12" t="s">
        <v>204</v>
      </c>
      <c r="I16" s="12" t="s">
        <v>205</v>
      </c>
      <c r="J16" s="12" t="s">
        <v>204</v>
      </c>
      <c r="K16" s="12" t="s">
        <v>206</v>
      </c>
      <c r="L16" s="13"/>
      <c r="M16" s="30">
        <f>IFERROR(__xludf.DUMMYFUNCTION("IFS(W16=""Achat"",IFERROR(VALUE(X16),VALUE(REGEXREPLACE(T(X16),""[^0-9]"",""""))),W16=""Vente"",-IFERROR(VALUE(X16),VALUE(REGEXREPLACE(T(X16),""[^0-9]"",""""))),Y16=""Change"",0,Y16&lt;&gt;""Change"","""")"),0.0)</f>
        <v>0</v>
      </c>
      <c r="N16" s="32">
        <f>IFERROR(__xludf.DUMMYFUNCTION("IF(Account!$F16&lt;&gt;"""", VALUE(REGEXREPLACE($I16, ""\,"", ""."")), """")"),-902.42)</f>
        <v>-902.42</v>
      </c>
      <c r="O16" s="33">
        <f>IF(Account!$F16&lt;&gt;"", DATEVALUE(MID($A16,4,3) &amp; LEFT($A16,3) &amp; RIGHT($A16,4)) + TIMEVALUE($B16), "")</f>
        <v>43748.29722</v>
      </c>
      <c r="P16" s="34">
        <f>IF(Account!$F16&lt;&gt;"", DATEVALUE(MID($C16,4,3) &amp; LEFT($C16,3) &amp; RIGHT($C16,4)), "")</f>
        <v>43747</v>
      </c>
      <c r="Q16" s="35" t="str">
        <f t="array" ref="Q16">IF($R16&lt;&gt;"",IFERROR(INDEX(ISIN!$B:$B,MATCH($R16,ISIN!$C:$C,0))),)</f>
        <v>Stocks</v>
      </c>
      <c r="R16" s="36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Vanguard S&amp;P 500 UCITS</v>
      </c>
      <c r="S16" s="35" t="str">
        <f t="shared" si="1"/>
        <v>DIVIDEND</v>
      </c>
      <c r="T16" s="37" t="str">
        <f t="shared" si="2"/>
        <v/>
      </c>
      <c r="U16" s="38" t="str">
        <f t="shared" si="3"/>
        <v/>
      </c>
      <c r="V16" s="32">
        <f t="shared" si="4"/>
        <v>-80.78</v>
      </c>
      <c r="W16" s="39" t="str">
        <f>IFERROR(__xludf.DUMMYFUNCTION(" IF(Account!$F16&lt;&gt;"""", SPLIT(Account!$F16, "" ""), """")"),"Opération")</f>
        <v>Opération</v>
      </c>
      <c r="X16" s="54" t="str">
        <f>IFERROR(__xludf.DUMMYFUNCTION("""COMPUTED_VALUE"""),"de")</f>
        <v>de</v>
      </c>
      <c r="Y16" s="54" t="str">
        <f>IFERROR(__xludf.DUMMYFUNCTION("""COMPUTED_VALUE"""),"change")</f>
        <v>change</v>
      </c>
      <c r="Z16" s="54" t="str">
        <f>IFERROR(__xludf.DUMMYFUNCTION("""COMPUTED_VALUE"""),"-")</f>
        <v>-</v>
      </c>
      <c r="AA16" s="54" t="str">
        <f>IFERROR(__xludf.DUMMYFUNCTION("""COMPUTED_VALUE"""),"Débit")</f>
        <v>Débit</v>
      </c>
      <c r="AB16" s="54"/>
      <c r="AC16" s="54"/>
      <c r="AD16" s="54"/>
      <c r="AE16" s="54"/>
      <c r="AF16" s="54"/>
      <c r="AG16" s="54"/>
      <c r="AH16" s="54"/>
      <c r="AI16" s="54"/>
      <c r="AJ16" s="54"/>
      <c r="AK16" s="54"/>
    </row>
    <row r="17">
      <c r="A17" s="12" t="s">
        <v>194</v>
      </c>
      <c r="B17" s="12" t="s">
        <v>210</v>
      </c>
      <c r="C17" s="12" t="s">
        <v>194</v>
      </c>
      <c r="D17" s="12" t="s">
        <v>68</v>
      </c>
      <c r="E17" s="12" t="s">
        <v>69</v>
      </c>
      <c r="F17" s="13" t="s">
        <v>211</v>
      </c>
      <c r="G17" s="12"/>
      <c r="H17" s="12" t="s">
        <v>204</v>
      </c>
      <c r="I17" s="12" t="s">
        <v>212</v>
      </c>
      <c r="J17" s="12" t="s">
        <v>204</v>
      </c>
      <c r="K17" s="12" t="s">
        <v>212</v>
      </c>
      <c r="L17" s="13"/>
      <c r="M17" s="30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2">
        <f>IFERROR(__xludf.DUMMYFUNCTION("IF(Account!$F17&lt;&gt;"""", VALUE(REGEXREPLACE($I17, ""\,"", ""."")), """")"),902.42)</f>
        <v>902.42</v>
      </c>
      <c r="O17" s="33">
        <f>IF(Account!$F17&lt;&gt;"", DATEVALUE(MID($A17,4,3) &amp; LEFT($A17,3) &amp; RIGHT($A17,4)) + TIMEVALUE($B17), "")</f>
        <v>43747.36458</v>
      </c>
      <c r="P17" s="34">
        <f>IF(Account!$F17&lt;&gt;"", DATEVALUE(MID($C17,4,3) &amp; LEFT($C17,3) &amp; RIGHT($C17,4)), "")</f>
        <v>43747</v>
      </c>
      <c r="Q17" s="35" t="str">
        <f t="array" ref="Q17">IF($R17&lt;&gt;"",IFERROR(INDEX(ISIN!$B:$B,MATCH($R17,ISIN!$C:$C,0))),)</f>
        <v>Stocks</v>
      </c>
      <c r="R17" s="36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Vanguard S&amp;P 500 UCITS</v>
      </c>
      <c r="S17" s="35" t="str">
        <f t="shared" si="1"/>
        <v>DIVIDEND</v>
      </c>
      <c r="T17" s="37" t="str">
        <f t="shared" si="2"/>
        <v/>
      </c>
      <c r="U17" s="38" t="str">
        <f t="shared" si="3"/>
        <v/>
      </c>
      <c r="V17" s="32">
        <f t="shared" si="4"/>
        <v>902.42</v>
      </c>
      <c r="W17" s="39" t="str">
        <f>IFERROR(__xludf.DUMMYFUNCTION(" IF(Account!$F17&lt;&gt;"""", SPLIT(Account!$F17, "" ""), """")"),"Dividende")</f>
        <v>Dividende</v>
      </c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</row>
    <row r="18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3"/>
      <c r="M18" s="30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2" t="str">
        <f>IFERROR(__xludf.DUMMYFUNCTION("IF(Account!$F18&lt;&gt;"""", VALUE(REGEXREPLACE($I18, ""\,"", ""."")), """")"),"")</f>
        <v/>
      </c>
      <c r="O18" s="33" t="str">
        <f>IF(Account!$F18&lt;&gt;"", DATEVALUE(MID($A18,4,3) &amp; LEFT($A18,3) &amp; RIGHT($A18,4)) + TIMEVALUE($B18), "")</f>
        <v/>
      </c>
      <c r="P18" s="34" t="str">
        <f>IF(Account!$F18&lt;&gt;"", DATEVALUE(MID($C18,4,3) &amp; LEFT($C18,3) &amp; RIGHT($C18,4)), "")</f>
        <v/>
      </c>
      <c r="Q18" s="35" t="str">
        <f t="array" ref="Q18">IF($R18&lt;&gt;"",IFERROR(INDEX(ISIN!$B:$B,MATCH($R18,ISIN!$C:$C,0))),)</f>
        <v/>
      </c>
      <c r="R18" s="36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5" t="str">
        <f t="shared" si="1"/>
        <v/>
      </c>
      <c r="T18" s="37" t="str">
        <f t="shared" si="2"/>
        <v/>
      </c>
      <c r="U18" s="38" t="str">
        <f t="shared" si="3"/>
        <v/>
      </c>
      <c r="V18" s="32" t="str">
        <f t="shared" si="4"/>
        <v/>
      </c>
      <c r="W18" s="39" t="str">
        <f>IFERROR(__xludf.DUMMYFUNCTION(" IF(Account!$F18&lt;&gt;"""", SPLIT(Account!$F18, "" ""), """")"),"")</f>
        <v/>
      </c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</row>
    <row r="19">
      <c r="A19" s="12"/>
      <c r="B19" s="12"/>
      <c r="C19" s="12"/>
      <c r="D19" s="12"/>
      <c r="E19" s="12"/>
      <c r="F19" s="13"/>
      <c r="G19" s="12"/>
      <c r="H19" s="12"/>
      <c r="I19" s="12"/>
      <c r="J19" s="12"/>
      <c r="K19" s="12"/>
      <c r="L19" s="13"/>
      <c r="M19" s="30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2" t="str">
        <f>IFERROR(__xludf.DUMMYFUNCTION("IF(Account!$F19&lt;&gt;"""", VALUE(REGEXREPLACE($I19, ""\,"", ""."")), """")"),"")</f>
        <v/>
      </c>
      <c r="O19" s="33" t="str">
        <f>IF(Account!$F19&lt;&gt;"", DATEVALUE(MID($A19,4,3) &amp; LEFT($A19,3) &amp; RIGHT($A19,4)) + TIMEVALUE($B19), "")</f>
        <v/>
      </c>
      <c r="P19" s="34" t="str">
        <f>IF(Account!$F19&lt;&gt;"", DATEVALUE(MID($C19,4,3) &amp; LEFT($C19,3) &amp; RIGHT($C19,4)), "")</f>
        <v/>
      </c>
      <c r="Q19" s="35" t="str">
        <f t="array" ref="Q19">IF($R19&lt;&gt;"",IFERROR(INDEX(ISIN!$B:$B,MATCH($R19,ISIN!$C:$C,0))),)</f>
        <v/>
      </c>
      <c r="R19" s="36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5" t="str">
        <f t="shared" si="1"/>
        <v/>
      </c>
      <c r="T19" s="37" t="str">
        <f t="shared" si="2"/>
        <v/>
      </c>
      <c r="U19" s="38" t="str">
        <f t="shared" si="3"/>
        <v/>
      </c>
      <c r="V19" s="32" t="str">
        <f t="shared" si="4"/>
        <v/>
      </c>
      <c r="W19" s="39" t="str">
        <f>IFERROR(__xludf.DUMMYFUNCTION(" IF(Account!$F19&lt;&gt;"""", SPLIT(Account!$F19, "" ""), """")"),"")</f>
        <v/>
      </c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</row>
    <row r="20">
      <c r="A20" s="12"/>
      <c r="B20" s="12"/>
      <c r="C20" s="12"/>
      <c r="D20" s="12"/>
      <c r="E20" s="12"/>
      <c r="F20" s="13"/>
      <c r="G20" s="12"/>
      <c r="H20" s="12"/>
      <c r="I20" s="12"/>
      <c r="J20" s="12"/>
      <c r="K20" s="12"/>
      <c r="L20" s="13"/>
      <c r="M20" s="30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2" t="str">
        <f>IFERROR(__xludf.DUMMYFUNCTION("IF(Account!$F20&lt;&gt;"""", VALUE(REGEXREPLACE($I20, ""\,"", ""."")), """")"),"")</f>
        <v/>
      </c>
      <c r="O20" s="33" t="str">
        <f>IF(Account!$F20&lt;&gt;"", DATEVALUE(MID($A20,4,3) &amp; LEFT($A20,3) &amp; RIGHT($A20,4)) + TIMEVALUE($B20), "")</f>
        <v/>
      </c>
      <c r="P20" s="34" t="str">
        <f>IF(Account!$F20&lt;&gt;"", DATEVALUE(MID($C20,4,3) &amp; LEFT($C20,3) &amp; RIGHT($C20,4)), "")</f>
        <v/>
      </c>
      <c r="Q20" s="35" t="str">
        <f t="array" ref="Q20">IF($R20&lt;&gt;"",IFERROR(INDEX(ISIN!$B:$B,MATCH($R20,ISIN!$C:$C,0))),)</f>
        <v/>
      </c>
      <c r="R20" s="36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5" t="str">
        <f t="shared" si="1"/>
        <v/>
      </c>
      <c r="T20" s="37" t="str">
        <f t="shared" si="2"/>
        <v/>
      </c>
      <c r="U20" s="38" t="str">
        <f t="shared" si="3"/>
        <v/>
      </c>
      <c r="V20" s="32" t="str">
        <f t="shared" si="4"/>
        <v/>
      </c>
      <c r="W20" s="39" t="str">
        <f>IFERROR(__xludf.DUMMYFUNCTION(" IF(Account!$F20&lt;&gt;"""", SPLIT(Account!$F20, "" ""), """")"),"")</f>
        <v/>
      </c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</row>
    <row r="21">
      <c r="A21" s="12"/>
      <c r="B21" s="12"/>
      <c r="C21" s="12"/>
      <c r="D21" s="12"/>
      <c r="E21" s="12"/>
      <c r="F21" s="13"/>
      <c r="G21" s="12"/>
      <c r="H21" s="12"/>
      <c r="I21" s="12"/>
      <c r="J21" s="12"/>
      <c r="K21" s="12"/>
      <c r="L21" s="13"/>
      <c r="M21" s="30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2" t="str">
        <f>IFERROR(__xludf.DUMMYFUNCTION("IF(Account!$F21&lt;&gt;"""", VALUE(REGEXREPLACE($I21, ""\,"", ""."")), """")"),"")</f>
        <v/>
      </c>
      <c r="O21" s="33" t="str">
        <f>IF(Account!$F21&lt;&gt;"", DATEVALUE(MID($A21,4,3) &amp; LEFT($A21,3) &amp; RIGHT($A21,4)) + TIMEVALUE($B21), "")</f>
        <v/>
      </c>
      <c r="P21" s="34" t="str">
        <f>IF(Account!$F21&lt;&gt;"", DATEVALUE(MID($C21,4,3) &amp; LEFT($C21,3) &amp; RIGHT($C21,4)), "")</f>
        <v/>
      </c>
      <c r="Q21" s="35" t="str">
        <f t="array" ref="Q21">IF($R21&lt;&gt;"",IFERROR(INDEX(ISIN!$B:$B,MATCH($R21,ISIN!$C:$C,0))),)</f>
        <v/>
      </c>
      <c r="R21" s="36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5" t="str">
        <f t="shared" si="1"/>
        <v/>
      </c>
      <c r="T21" s="37" t="str">
        <f t="shared" si="2"/>
        <v/>
      </c>
      <c r="U21" s="38" t="str">
        <f t="shared" si="3"/>
        <v/>
      </c>
      <c r="V21" s="32" t="str">
        <f t="shared" si="4"/>
        <v/>
      </c>
      <c r="W21" s="39" t="str">
        <f>IFERROR(__xludf.DUMMYFUNCTION(" IF(Account!$F21&lt;&gt;"""", SPLIT(Account!$F21, "" ""), """")"),"")</f>
        <v/>
      </c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</row>
    <row r="22">
      <c r="A22" s="12"/>
      <c r="B22" s="12"/>
      <c r="C22" s="12"/>
      <c r="D22" s="12"/>
      <c r="E22" s="12"/>
      <c r="F22" s="13"/>
      <c r="G22" s="12"/>
      <c r="H22" s="12"/>
      <c r="I22" s="12"/>
      <c r="J22" s="12"/>
      <c r="K22" s="12"/>
      <c r="L22" s="13"/>
      <c r="M22" s="30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2" t="str">
        <f>IFERROR(__xludf.DUMMYFUNCTION("IF(Account!$F22&lt;&gt;"""", VALUE(REGEXREPLACE($I22, ""\,"", ""."")), """")"),"")</f>
        <v/>
      </c>
      <c r="O22" s="33" t="str">
        <f>IF(Account!$F22&lt;&gt;"", DATEVALUE(MID($A22,4,3) &amp; LEFT($A22,3) &amp; RIGHT($A22,4)) + TIMEVALUE($B22), "")</f>
        <v/>
      </c>
      <c r="P22" s="34" t="str">
        <f>IF(Account!$F22&lt;&gt;"", DATEVALUE(MID($C22,4,3) &amp; LEFT($C22,3) &amp; RIGHT($C22,4)), "")</f>
        <v/>
      </c>
      <c r="Q22" s="35" t="str">
        <f t="array" ref="Q22">IF($R22&lt;&gt;"",IFERROR(INDEX(ISIN!$B:$B,MATCH($R22,ISIN!$C:$C,0))),)</f>
        <v/>
      </c>
      <c r="R22" s="36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5" t="str">
        <f t="shared" si="1"/>
        <v/>
      </c>
      <c r="T22" s="37" t="str">
        <f t="shared" si="2"/>
        <v/>
      </c>
      <c r="U22" s="38" t="str">
        <f t="shared" si="3"/>
        <v/>
      </c>
      <c r="V22" s="32" t="str">
        <f t="shared" si="4"/>
        <v/>
      </c>
      <c r="W22" s="39" t="str">
        <f>IFERROR(__xludf.DUMMYFUNCTION(" IF(Account!$F22&lt;&gt;"""", SPLIT(Account!$F22, "" ""), """")"),"")</f>
        <v/>
      </c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</row>
    <row r="23">
      <c r="A23" s="12"/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3"/>
      <c r="M23" s="30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2" t="str">
        <f>IFERROR(__xludf.DUMMYFUNCTION("IF(Account!$F23&lt;&gt;"""", VALUE(REGEXREPLACE($I23, ""\,"", ""."")), """")"),"")</f>
        <v/>
      </c>
      <c r="O23" s="33" t="str">
        <f>IF(Account!$F23&lt;&gt;"", DATEVALUE(MID($A23,4,3) &amp; LEFT($A23,3) &amp; RIGHT($A23,4)) + TIMEVALUE($B23), "")</f>
        <v/>
      </c>
      <c r="P23" s="34" t="str">
        <f>IF(Account!$F23&lt;&gt;"", DATEVALUE(MID($C23,4,3) &amp; LEFT($C23,3) &amp; RIGHT($C23,4)), "")</f>
        <v/>
      </c>
      <c r="Q23" s="35" t="str">
        <f t="array" ref="Q23">IF($R23&lt;&gt;"",IFERROR(INDEX(ISIN!$B:$B,MATCH($R23,ISIN!$C:$C,0))),)</f>
        <v/>
      </c>
      <c r="R23" s="36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5" t="str">
        <f t="shared" si="1"/>
        <v/>
      </c>
      <c r="T23" s="37" t="str">
        <f t="shared" si="2"/>
        <v/>
      </c>
      <c r="U23" s="38" t="str">
        <f t="shared" si="3"/>
        <v/>
      </c>
      <c r="V23" s="32" t="str">
        <f t="shared" si="4"/>
        <v/>
      </c>
      <c r="W23" s="39" t="str">
        <f>IFERROR(__xludf.DUMMYFUNCTION(" IF(Account!$F23&lt;&gt;"""", SPLIT(Account!$F23, "" ""), """")"),"")</f>
        <v/>
      </c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</row>
    <row r="24">
      <c r="A24" s="12"/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3"/>
      <c r="M24" s="30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2" t="str">
        <f>IFERROR(__xludf.DUMMYFUNCTION("IF(Account!$F24&lt;&gt;"""", VALUE(REGEXREPLACE($I24, ""\,"", ""."")), """")"),"")</f>
        <v/>
      </c>
      <c r="O24" s="33" t="str">
        <f>IF(Account!$F24&lt;&gt;"", DATEVALUE(MID($A24,4,3) &amp; LEFT($A24,3) &amp; RIGHT($A24,4)) + TIMEVALUE($B24), "")</f>
        <v/>
      </c>
      <c r="P24" s="34" t="str">
        <f>IF(Account!$F24&lt;&gt;"", DATEVALUE(MID($C24,4,3) &amp; LEFT($C24,3) &amp; RIGHT($C24,4)), "")</f>
        <v/>
      </c>
      <c r="Q24" s="35" t="str">
        <f t="array" ref="Q24">IF($R24&lt;&gt;"",IFERROR(INDEX(ISIN!$B:$B,MATCH($R24,ISIN!$C:$C,0))),)</f>
        <v/>
      </c>
      <c r="R24" s="36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5" t="str">
        <f t="shared" si="1"/>
        <v/>
      </c>
      <c r="T24" s="37" t="str">
        <f t="shared" si="2"/>
        <v/>
      </c>
      <c r="U24" s="38" t="str">
        <f t="shared" si="3"/>
        <v/>
      </c>
      <c r="V24" s="32" t="str">
        <f t="shared" si="4"/>
        <v/>
      </c>
      <c r="W24" s="39" t="str">
        <f>IFERROR(__xludf.DUMMYFUNCTION(" IF(Account!$F24&lt;&gt;"""", SPLIT(Account!$F24, "" ""), """")"),"")</f>
        <v/>
      </c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</row>
    <row r="25">
      <c r="A25" s="12"/>
      <c r="B25" s="12"/>
      <c r="C25" s="12"/>
      <c r="D25" s="12"/>
      <c r="E25" s="12"/>
      <c r="F25" s="13"/>
      <c r="G25" s="12"/>
      <c r="H25" s="12"/>
      <c r="I25" s="12"/>
      <c r="J25" s="12"/>
      <c r="K25" s="12"/>
      <c r="L25" s="13"/>
      <c r="M25" s="30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2" t="str">
        <f>IFERROR(__xludf.DUMMYFUNCTION("IF(Account!$F25&lt;&gt;"""", VALUE(REGEXREPLACE($I25, ""\,"", ""."")), """")"),"")</f>
        <v/>
      </c>
      <c r="O25" s="33" t="str">
        <f>IF(Account!$F25&lt;&gt;"", DATEVALUE(MID($A25,4,3) &amp; LEFT($A25,3) &amp; RIGHT($A25,4)) + TIMEVALUE($B25), "")</f>
        <v/>
      </c>
      <c r="P25" s="34" t="str">
        <f>IF(Account!$F25&lt;&gt;"", DATEVALUE(MID($C25,4,3) &amp; LEFT($C25,3) &amp; RIGHT($C25,4)), "")</f>
        <v/>
      </c>
      <c r="Q25" s="35" t="str">
        <f t="array" ref="Q25">IF($R25&lt;&gt;"",IFERROR(INDEX(ISIN!$B:$B,MATCH($R25,ISIN!$C:$C,0))),)</f>
        <v/>
      </c>
      <c r="R25" s="36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5" t="str">
        <f t="shared" si="1"/>
        <v/>
      </c>
      <c r="T25" s="37" t="str">
        <f t="shared" si="2"/>
        <v/>
      </c>
      <c r="U25" s="38" t="str">
        <f t="shared" si="3"/>
        <v/>
      </c>
      <c r="V25" s="32" t="str">
        <f t="shared" si="4"/>
        <v/>
      </c>
      <c r="W25" s="39" t="str">
        <f>IFERROR(__xludf.DUMMYFUNCTION(" IF(Account!$F25&lt;&gt;"""", SPLIT(Account!$F25, "" ""), """")"),"")</f>
        <v/>
      </c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</row>
    <row r="26">
      <c r="A26" s="12"/>
      <c r="B26" s="12"/>
      <c r="C26" s="12"/>
      <c r="D26" s="12"/>
      <c r="E26" s="12"/>
      <c r="F26" s="13"/>
      <c r="G26" s="12"/>
      <c r="H26" s="12"/>
      <c r="I26" s="12"/>
      <c r="J26" s="12"/>
      <c r="K26" s="12"/>
      <c r="L26" s="13"/>
      <c r="M26" s="30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2" t="str">
        <f>IFERROR(__xludf.DUMMYFUNCTION("IF(Account!$F26&lt;&gt;"""", VALUE(REGEXREPLACE($I26, ""\,"", ""."")), """")"),"")</f>
        <v/>
      </c>
      <c r="O26" s="33" t="str">
        <f>IF(Account!$F26&lt;&gt;"", DATEVALUE(MID($A26,4,3) &amp; LEFT($A26,3) &amp; RIGHT($A26,4)) + TIMEVALUE($B26), "")</f>
        <v/>
      </c>
      <c r="P26" s="34" t="str">
        <f>IF(Account!$F26&lt;&gt;"", DATEVALUE(MID($C26,4,3) &amp; LEFT($C26,3) &amp; RIGHT($C26,4)), "")</f>
        <v/>
      </c>
      <c r="Q26" s="35" t="str">
        <f t="array" ref="Q26">IF($R26&lt;&gt;"",IFERROR(INDEX(ISIN!$B:$B,MATCH($R26,ISIN!$C:$C,0))),)</f>
        <v/>
      </c>
      <c r="R26" s="36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5" t="str">
        <f t="shared" si="1"/>
        <v/>
      </c>
      <c r="T26" s="37" t="str">
        <f t="shared" si="2"/>
        <v/>
      </c>
      <c r="U26" s="38" t="str">
        <f t="shared" si="3"/>
        <v/>
      </c>
      <c r="V26" s="32" t="str">
        <f t="shared" si="4"/>
        <v/>
      </c>
      <c r="W26" s="39" t="str">
        <f>IFERROR(__xludf.DUMMYFUNCTION(" IF(Account!$F26&lt;&gt;"""", SPLIT(Account!$F26, "" ""), """")"),"")</f>
        <v/>
      </c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</row>
    <row r="27">
      <c r="A27" s="12"/>
      <c r="B27" s="12"/>
      <c r="C27" s="12"/>
      <c r="D27" s="12"/>
      <c r="E27" s="12"/>
      <c r="F27" s="13"/>
      <c r="G27" s="12"/>
      <c r="H27" s="12"/>
      <c r="I27" s="12"/>
      <c r="J27" s="12"/>
      <c r="K27" s="12"/>
      <c r="L27" s="13"/>
      <c r="M27" s="30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2" t="str">
        <f>IFERROR(__xludf.DUMMYFUNCTION("IF(Account!$F27&lt;&gt;"""", VALUE(REGEXREPLACE($I27, ""\,"", ""."")), """")"),"")</f>
        <v/>
      </c>
      <c r="O27" s="33" t="str">
        <f>IF(Account!$F27&lt;&gt;"", DATEVALUE(MID($A27,4,3) &amp; LEFT($A27,3) &amp; RIGHT($A27,4)) + TIMEVALUE($B27), "")</f>
        <v/>
      </c>
      <c r="P27" s="34" t="str">
        <f>IF(Account!$F27&lt;&gt;"", DATEVALUE(MID($C27,4,3) &amp; LEFT($C27,3) &amp; RIGHT($C27,4)), "")</f>
        <v/>
      </c>
      <c r="Q27" s="35" t="str">
        <f t="array" ref="Q27">IF($R27&lt;&gt;"",IFERROR(INDEX(ISIN!$B:$B,MATCH($R27,ISIN!$C:$C,0))),)</f>
        <v/>
      </c>
      <c r="R27" s="36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5" t="str">
        <f t="shared" si="1"/>
        <v/>
      </c>
      <c r="T27" s="37" t="str">
        <f t="shared" si="2"/>
        <v/>
      </c>
      <c r="U27" s="38" t="str">
        <f t="shared" si="3"/>
        <v/>
      </c>
      <c r="V27" s="32" t="str">
        <f t="shared" si="4"/>
        <v/>
      </c>
      <c r="W27" s="39" t="str">
        <f>IFERROR(__xludf.DUMMYFUNCTION(" IF(Account!$F27&lt;&gt;"""", SPLIT(Account!$F27, "" ""), """")"),"")</f>
        <v/>
      </c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</row>
    <row r="28">
      <c r="A28" s="12"/>
      <c r="B28" s="12"/>
      <c r="C28" s="12"/>
      <c r="D28" s="12"/>
      <c r="E28" s="12"/>
      <c r="F28" s="13"/>
      <c r="G28" s="12"/>
      <c r="H28" s="12"/>
      <c r="I28" s="12"/>
      <c r="J28" s="12"/>
      <c r="K28" s="12"/>
      <c r="L28" s="13"/>
      <c r="M28" s="30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2" t="str">
        <f>IFERROR(__xludf.DUMMYFUNCTION("IF(Account!$F28&lt;&gt;"""", VALUE(REGEXREPLACE($I28, ""\,"", ""."")), """")"),"")</f>
        <v/>
      </c>
      <c r="O28" s="33" t="str">
        <f>IF(Account!$F28&lt;&gt;"", DATEVALUE(MID($A28,4,3) &amp; LEFT($A28,3) &amp; RIGHT($A28,4)) + TIMEVALUE($B28), "")</f>
        <v/>
      </c>
      <c r="P28" s="34" t="str">
        <f>IF(Account!$F28&lt;&gt;"", DATEVALUE(MID($C28,4,3) &amp; LEFT($C28,3) &amp; RIGHT($C28,4)), "")</f>
        <v/>
      </c>
      <c r="Q28" s="35" t="str">
        <f t="array" ref="Q28">IF($R28&lt;&gt;"",IFERROR(INDEX(ISIN!$B:$B,MATCH($R28,ISIN!$C:$C,0))),)</f>
        <v/>
      </c>
      <c r="R28" s="36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5" t="str">
        <f t="shared" si="1"/>
        <v/>
      </c>
      <c r="T28" s="37" t="str">
        <f t="shared" si="2"/>
        <v/>
      </c>
      <c r="U28" s="38" t="str">
        <f t="shared" si="3"/>
        <v/>
      </c>
      <c r="V28" s="32" t="str">
        <f t="shared" si="4"/>
        <v/>
      </c>
      <c r="W28" s="39" t="str">
        <f>IFERROR(__xludf.DUMMYFUNCTION(" IF(Account!$F28&lt;&gt;"""", SPLIT(Account!$F28, "" ""), """")"),"")</f>
        <v/>
      </c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</row>
    <row r="29">
      <c r="A29" s="12"/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13"/>
      <c r="M29" s="30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2" t="str">
        <f>IFERROR(__xludf.DUMMYFUNCTION("IF(Account!$F29&lt;&gt;"""", VALUE(REGEXREPLACE($I29, ""\,"", ""."")), """")"),"")</f>
        <v/>
      </c>
      <c r="O29" s="33" t="str">
        <f>IF(Account!$F29&lt;&gt;"", DATEVALUE(MID($A29,4,3) &amp; LEFT($A29,3) &amp; RIGHT($A29,4)) + TIMEVALUE($B29), "")</f>
        <v/>
      </c>
      <c r="P29" s="34" t="str">
        <f>IF(Account!$F29&lt;&gt;"", DATEVALUE(MID($C29,4,3) &amp; LEFT($C29,3) &amp; RIGHT($C29,4)), "")</f>
        <v/>
      </c>
      <c r="Q29" s="35" t="str">
        <f t="array" ref="Q29">IF($R29&lt;&gt;"",IFERROR(INDEX(ISIN!$B:$B,MATCH($R29,ISIN!$C:$C,0))),)</f>
        <v/>
      </c>
      <c r="R29" s="36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5" t="str">
        <f t="shared" si="1"/>
        <v/>
      </c>
      <c r="T29" s="37" t="str">
        <f t="shared" si="2"/>
        <v/>
      </c>
      <c r="U29" s="38" t="str">
        <f t="shared" si="3"/>
        <v/>
      </c>
      <c r="V29" s="32" t="str">
        <f t="shared" si="4"/>
        <v/>
      </c>
      <c r="W29" s="39" t="str">
        <f>IFERROR(__xludf.DUMMYFUNCTION(" IF(Account!$F29&lt;&gt;"""", SPLIT(Account!$F29, "" ""), """")"),"")</f>
        <v/>
      </c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</row>
    <row r="30">
      <c r="A30" s="12"/>
      <c r="B30" s="12"/>
      <c r="C30" s="12"/>
      <c r="D30" s="12"/>
      <c r="E30" s="12"/>
      <c r="F30" s="13"/>
      <c r="G30" s="12"/>
      <c r="H30" s="12"/>
      <c r="I30" s="12"/>
      <c r="J30" s="12"/>
      <c r="K30" s="12"/>
      <c r="L30" s="13"/>
      <c r="M30" s="30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2" t="str">
        <f>IFERROR(__xludf.DUMMYFUNCTION("IF(Account!$F30&lt;&gt;"""", VALUE(REGEXREPLACE($I30, ""\,"", ""."")), """")"),"")</f>
        <v/>
      </c>
      <c r="O30" s="33" t="str">
        <f>IF(Account!$F30&lt;&gt;"", DATEVALUE(MID($A30,4,3) &amp; LEFT($A30,3) &amp; RIGHT($A30,4)) + TIMEVALUE($B30), "")</f>
        <v/>
      </c>
      <c r="P30" s="34" t="str">
        <f>IF(Account!$F30&lt;&gt;"", DATEVALUE(MID($C30,4,3) &amp; LEFT($C30,3) &amp; RIGHT($C30,4)), "")</f>
        <v/>
      </c>
      <c r="Q30" s="35" t="str">
        <f t="array" ref="Q30">IF($R30&lt;&gt;"",IFERROR(INDEX(ISIN!$B:$B,MATCH($R30,ISIN!$C:$C,0))),)</f>
        <v/>
      </c>
      <c r="R30" s="36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5" t="str">
        <f t="shared" si="1"/>
        <v/>
      </c>
      <c r="T30" s="37" t="str">
        <f t="shared" si="2"/>
        <v/>
      </c>
      <c r="U30" s="38" t="str">
        <f t="shared" si="3"/>
        <v/>
      </c>
      <c r="V30" s="32" t="str">
        <f t="shared" si="4"/>
        <v/>
      </c>
      <c r="W30" s="39" t="str">
        <f>IFERROR(__xludf.DUMMYFUNCTION(" IF(Account!$F30&lt;&gt;"""", SPLIT(Account!$F30, "" ""), """")"),"")</f>
        <v/>
      </c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</row>
    <row r="31">
      <c r="A31" s="12"/>
      <c r="B31" s="12"/>
      <c r="C31" s="12"/>
      <c r="D31" s="12"/>
      <c r="E31" s="12"/>
      <c r="F31" s="13"/>
      <c r="G31" s="12"/>
      <c r="H31" s="12"/>
      <c r="I31" s="12"/>
      <c r="J31" s="12"/>
      <c r="K31" s="12"/>
      <c r="L31" s="13"/>
      <c r="M31" s="30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2" t="str">
        <f>IFERROR(__xludf.DUMMYFUNCTION("IF(Account!$F31&lt;&gt;"""", VALUE(REGEXREPLACE($I31, ""\,"", ""."")), """")"),"")</f>
        <v/>
      </c>
      <c r="O31" s="33" t="str">
        <f>IF(Account!$F31&lt;&gt;"", DATEVALUE(MID($A31,4,3) &amp; LEFT($A31,3) &amp; RIGHT($A31,4)) + TIMEVALUE($B31), "")</f>
        <v/>
      </c>
      <c r="P31" s="34" t="str">
        <f>IF(Account!$F31&lt;&gt;"", DATEVALUE(MID($C31,4,3) &amp; LEFT($C31,3) &amp; RIGHT($C31,4)), "")</f>
        <v/>
      </c>
      <c r="Q31" s="35" t="str">
        <f t="array" ref="Q31">IF($R31&lt;&gt;"",IFERROR(INDEX(ISIN!$B:$B,MATCH($R31,ISIN!$C:$C,0))),)</f>
        <v/>
      </c>
      <c r="R31" s="36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5" t="str">
        <f t="shared" si="1"/>
        <v/>
      </c>
      <c r="T31" s="37" t="str">
        <f t="shared" si="2"/>
        <v/>
      </c>
      <c r="U31" s="38" t="str">
        <f t="shared" si="3"/>
        <v/>
      </c>
      <c r="V31" s="32" t="str">
        <f t="shared" si="4"/>
        <v/>
      </c>
      <c r="W31" s="39" t="str">
        <f>IFERROR(__xludf.DUMMYFUNCTION(" IF(Account!$F31&lt;&gt;"""", SPLIT(Account!$F31, "" ""), """")"),"")</f>
        <v/>
      </c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</row>
    <row r="32">
      <c r="A32" s="12"/>
      <c r="B32" s="12"/>
      <c r="C32" s="12"/>
      <c r="D32" s="12"/>
      <c r="E32" s="12"/>
      <c r="F32" s="13"/>
      <c r="G32" s="12"/>
      <c r="H32" s="12"/>
      <c r="I32" s="12"/>
      <c r="J32" s="12"/>
      <c r="K32" s="12"/>
      <c r="L32" s="13"/>
      <c r="M32" s="30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2" t="str">
        <f>IFERROR(__xludf.DUMMYFUNCTION("IF(Account!$F32&lt;&gt;"""", VALUE(REGEXREPLACE($I32, ""\,"", ""."")), """")"),"")</f>
        <v/>
      </c>
      <c r="O32" s="33" t="str">
        <f>IF(Account!$F32&lt;&gt;"", DATEVALUE(MID($A32,4,3) &amp; LEFT($A32,3) &amp; RIGHT($A32,4)) + TIMEVALUE($B32), "")</f>
        <v/>
      </c>
      <c r="P32" s="34" t="str">
        <f>IF(Account!$F32&lt;&gt;"", DATEVALUE(MID($C32,4,3) &amp; LEFT($C32,3) &amp; RIGHT($C32,4)), "")</f>
        <v/>
      </c>
      <c r="Q32" s="35" t="str">
        <f t="array" ref="Q32">IF($R32&lt;&gt;"",IFERROR(INDEX(ISIN!$B:$B,MATCH($R32,ISIN!$C:$C,0))),)</f>
        <v/>
      </c>
      <c r="R32" s="36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5" t="str">
        <f t="shared" si="1"/>
        <v/>
      </c>
      <c r="T32" s="37" t="str">
        <f t="shared" si="2"/>
        <v/>
      </c>
      <c r="U32" s="38" t="str">
        <f t="shared" si="3"/>
        <v/>
      </c>
      <c r="V32" s="32" t="str">
        <f t="shared" si="4"/>
        <v/>
      </c>
      <c r="W32" s="39" t="str">
        <f>IFERROR(__xludf.DUMMYFUNCTION(" IF(Account!$F32&lt;&gt;"""", SPLIT(Account!$F32, "" ""), """")"),"")</f>
        <v/>
      </c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</row>
    <row r="33">
      <c r="A33" s="12"/>
      <c r="B33" s="12"/>
      <c r="C33" s="12"/>
      <c r="D33" s="12"/>
      <c r="E33" s="12"/>
      <c r="F33" s="13"/>
      <c r="G33" s="12"/>
      <c r="H33" s="12"/>
      <c r="I33" s="12"/>
      <c r="J33" s="12"/>
      <c r="K33" s="12"/>
      <c r="L33" s="13"/>
      <c r="M33" s="30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2" t="str">
        <f>IFERROR(__xludf.DUMMYFUNCTION("IF(Account!$F33&lt;&gt;"""", VALUE(REGEXREPLACE($I33, ""\,"", ""."")), """")"),"")</f>
        <v/>
      </c>
      <c r="O33" s="33" t="str">
        <f>IF(Account!$F33&lt;&gt;"", DATEVALUE(MID($A33,4,3) &amp; LEFT($A33,3) &amp; RIGHT($A33,4)) + TIMEVALUE($B33), "")</f>
        <v/>
      </c>
      <c r="P33" s="34" t="str">
        <f>IF(Account!$F33&lt;&gt;"", DATEVALUE(MID($C33,4,3) &amp; LEFT($C33,3) &amp; RIGHT($C33,4)), "")</f>
        <v/>
      </c>
      <c r="Q33" s="35" t="str">
        <f t="array" ref="Q33">IF($R33&lt;&gt;"",IFERROR(INDEX(ISIN!$B:$B,MATCH($R33,ISIN!$C:$C,0))),)</f>
        <v/>
      </c>
      <c r="R33" s="36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5" t="str">
        <f t="shared" si="1"/>
        <v/>
      </c>
      <c r="T33" s="37" t="str">
        <f t="shared" si="2"/>
        <v/>
      </c>
      <c r="U33" s="38" t="str">
        <f t="shared" si="3"/>
        <v/>
      </c>
      <c r="V33" s="32" t="str">
        <f t="shared" si="4"/>
        <v/>
      </c>
      <c r="W33" s="39" t="str">
        <f>IFERROR(__xludf.DUMMYFUNCTION(" IF(Account!$F33&lt;&gt;"""", SPLIT(Account!$F33, "" ""), """")"),"")</f>
        <v/>
      </c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</row>
    <row r="34">
      <c r="A34" s="12"/>
      <c r="B34" s="12"/>
      <c r="C34" s="12"/>
      <c r="D34" s="12"/>
      <c r="E34" s="12"/>
      <c r="F34" s="13"/>
      <c r="G34" s="12"/>
      <c r="H34" s="12"/>
      <c r="I34" s="12"/>
      <c r="J34" s="12"/>
      <c r="K34" s="12"/>
      <c r="L34" s="13"/>
      <c r="M34" s="30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2" t="str">
        <f>IFERROR(__xludf.DUMMYFUNCTION("IF(Account!$F34&lt;&gt;"""", VALUE(REGEXREPLACE($I34, ""\,"", ""."")), """")"),"")</f>
        <v/>
      </c>
      <c r="O34" s="33" t="str">
        <f>IF(Account!$F34&lt;&gt;"", DATEVALUE(MID($A34,4,3) &amp; LEFT($A34,3) &amp; RIGHT($A34,4)) + TIMEVALUE($B34), "")</f>
        <v/>
      </c>
      <c r="P34" s="34" t="str">
        <f>IF(Account!$F34&lt;&gt;"", DATEVALUE(MID($C34,4,3) &amp; LEFT($C34,3) &amp; RIGHT($C34,4)), "")</f>
        <v/>
      </c>
      <c r="Q34" s="35" t="str">
        <f t="array" ref="Q34">IF($R34&lt;&gt;"",IFERROR(INDEX(ISIN!$B:$B,MATCH($R34,ISIN!$C:$C,0))),)</f>
        <v/>
      </c>
      <c r="R34" s="36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5" t="str">
        <f t="shared" si="1"/>
        <v/>
      </c>
      <c r="T34" s="37" t="str">
        <f t="shared" si="2"/>
        <v/>
      </c>
      <c r="U34" s="38" t="str">
        <f t="shared" si="3"/>
        <v/>
      </c>
      <c r="V34" s="32" t="str">
        <f t="shared" si="4"/>
        <v/>
      </c>
      <c r="W34" s="39" t="str">
        <f>IFERROR(__xludf.DUMMYFUNCTION(" IF(Account!$F34&lt;&gt;"""", SPLIT(Account!$F34, "" ""), """")"),"")</f>
        <v/>
      </c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</row>
    <row r="35">
      <c r="A35" s="12"/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3"/>
      <c r="M35" s="30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2" t="str">
        <f>IFERROR(__xludf.DUMMYFUNCTION("IF(Account!$F35&lt;&gt;"""", VALUE(REGEXREPLACE($I35, ""\,"", ""."")), """")"),"")</f>
        <v/>
      </c>
      <c r="O35" s="33" t="str">
        <f>IF(Account!$F35&lt;&gt;"", DATEVALUE(MID($A35,4,3) &amp; LEFT($A35,3) &amp; RIGHT($A35,4)) + TIMEVALUE($B35), "")</f>
        <v/>
      </c>
      <c r="P35" s="34" t="str">
        <f>IF(Account!$F35&lt;&gt;"", DATEVALUE(MID($C35,4,3) &amp; LEFT($C35,3) &amp; RIGHT($C35,4)), "")</f>
        <v/>
      </c>
      <c r="Q35" s="35" t="str">
        <f t="array" ref="Q35">IF($R35&lt;&gt;"",IFERROR(INDEX(ISIN!$B:$B,MATCH($R35,ISIN!$C:$C,0))),)</f>
        <v/>
      </c>
      <c r="R35" s="36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5" t="str">
        <f t="shared" si="1"/>
        <v/>
      </c>
      <c r="T35" s="37" t="str">
        <f t="shared" si="2"/>
        <v/>
      </c>
      <c r="U35" s="38" t="str">
        <f t="shared" si="3"/>
        <v/>
      </c>
      <c r="V35" s="32" t="str">
        <f t="shared" si="4"/>
        <v/>
      </c>
      <c r="W35" s="39" t="str">
        <f>IFERROR(__xludf.DUMMYFUNCTION(" IF(Account!$F35&lt;&gt;"""", SPLIT(Account!$F35, "" ""), """")"),"")</f>
        <v/>
      </c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</row>
    <row r="36">
      <c r="A36" s="12"/>
      <c r="B36" s="12"/>
      <c r="C36" s="12"/>
      <c r="D36" s="12"/>
      <c r="E36" s="12"/>
      <c r="F36" s="13"/>
      <c r="G36" s="12"/>
      <c r="H36" s="12"/>
      <c r="I36" s="12"/>
      <c r="J36" s="12"/>
      <c r="K36" s="12"/>
      <c r="L36" s="13"/>
      <c r="M36" s="30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2" t="str">
        <f>IFERROR(__xludf.DUMMYFUNCTION("IF(Account!$F36&lt;&gt;"""", VALUE(REGEXREPLACE($I36, ""\,"", ""."")), """")"),"")</f>
        <v/>
      </c>
      <c r="O36" s="33" t="str">
        <f>IF(Account!$F36&lt;&gt;"", DATEVALUE(MID($A36,4,3) &amp; LEFT($A36,3) &amp; RIGHT($A36,4)) + TIMEVALUE($B36), "")</f>
        <v/>
      </c>
      <c r="P36" s="34" t="str">
        <f>IF(Account!$F36&lt;&gt;"", DATEVALUE(MID($C36,4,3) &amp; LEFT($C36,3) &amp; RIGHT($C36,4)), "")</f>
        <v/>
      </c>
      <c r="Q36" s="35" t="str">
        <f t="array" ref="Q36">IF($R36&lt;&gt;"",IFERROR(INDEX(ISIN!$B:$B,MATCH($R36,ISIN!$C:$C,0))),)</f>
        <v/>
      </c>
      <c r="R36" s="36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5" t="str">
        <f t="shared" si="1"/>
        <v/>
      </c>
      <c r="T36" s="37" t="str">
        <f t="shared" si="2"/>
        <v/>
      </c>
      <c r="U36" s="38" t="str">
        <f t="shared" si="3"/>
        <v/>
      </c>
      <c r="V36" s="32" t="str">
        <f t="shared" si="4"/>
        <v/>
      </c>
      <c r="W36" s="39" t="str">
        <f>IFERROR(__xludf.DUMMYFUNCTION(" IF(Account!$F36&lt;&gt;"""", SPLIT(Account!$F36, "" ""), """")"),"")</f>
        <v/>
      </c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</row>
    <row r="37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3"/>
      <c r="M37" s="30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2" t="str">
        <f>IFERROR(__xludf.DUMMYFUNCTION("IF(Account!$F37&lt;&gt;"""", VALUE(REGEXREPLACE($I37, ""\,"", ""."")), """")"),"")</f>
        <v/>
      </c>
      <c r="O37" s="33" t="str">
        <f>IF(Account!$F37&lt;&gt;"", DATEVALUE(MID($A37,4,3) &amp; LEFT($A37,3) &amp; RIGHT($A37,4)) + TIMEVALUE($B37), "")</f>
        <v/>
      </c>
      <c r="P37" s="34" t="str">
        <f>IF(Account!$F37&lt;&gt;"", DATEVALUE(MID($C37,4,3) &amp; LEFT($C37,3) &amp; RIGHT($C37,4)), "")</f>
        <v/>
      </c>
      <c r="Q37" s="35" t="str">
        <f t="array" ref="Q37">IF($R37&lt;&gt;"",IFERROR(INDEX(ISIN!$B:$B,MATCH($R37,ISIN!$C:$C,0))),)</f>
        <v/>
      </c>
      <c r="R37" s="36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5" t="str">
        <f t="shared" si="1"/>
        <v/>
      </c>
      <c r="T37" s="37" t="str">
        <f t="shared" si="2"/>
        <v/>
      </c>
      <c r="U37" s="38" t="str">
        <f t="shared" si="3"/>
        <v/>
      </c>
      <c r="V37" s="32" t="str">
        <f t="shared" si="4"/>
        <v/>
      </c>
      <c r="W37" s="39" t="str">
        <f>IFERROR(__xludf.DUMMYFUNCTION(" IF(Account!$F37&lt;&gt;"""", SPLIT(Account!$F37, "" ""), """")"),"")</f>
        <v/>
      </c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</row>
    <row r="38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3"/>
      <c r="M38" s="30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2" t="str">
        <f>IFERROR(__xludf.DUMMYFUNCTION("IF(Account!$F38&lt;&gt;"""", VALUE(REGEXREPLACE($I38, ""\,"", ""."")), """")"),"")</f>
        <v/>
      </c>
      <c r="O38" s="33" t="str">
        <f>IF(Account!$F38&lt;&gt;"", DATEVALUE(MID($A38,4,3) &amp; LEFT($A38,3) &amp; RIGHT($A38,4)) + TIMEVALUE($B38), "")</f>
        <v/>
      </c>
      <c r="P38" s="34" t="str">
        <f>IF(Account!$F38&lt;&gt;"", DATEVALUE(MID($C38,4,3) &amp; LEFT($C38,3) &amp; RIGHT($C38,4)), "")</f>
        <v/>
      </c>
      <c r="Q38" s="35" t="str">
        <f t="array" ref="Q38">IF($R38&lt;&gt;"",IFERROR(INDEX(ISIN!$B:$B,MATCH($R38,ISIN!$C:$C,0))),)</f>
        <v/>
      </c>
      <c r="R38" s="36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5" t="str">
        <f t="shared" si="1"/>
        <v/>
      </c>
      <c r="T38" s="37" t="str">
        <f t="shared" si="2"/>
        <v/>
      </c>
      <c r="U38" s="38" t="str">
        <f t="shared" si="3"/>
        <v/>
      </c>
      <c r="V38" s="32" t="str">
        <f t="shared" si="4"/>
        <v/>
      </c>
      <c r="W38" s="39" t="str">
        <f>IFERROR(__xludf.DUMMYFUNCTION(" IF(Account!$F38&lt;&gt;"""", SPLIT(Account!$F38, "" ""), """")"),"")</f>
        <v/>
      </c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</row>
    <row r="39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3"/>
      <c r="M39" s="30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2" t="str">
        <f>IFERROR(__xludf.DUMMYFUNCTION("IF(Account!$F39&lt;&gt;"""", VALUE(REGEXREPLACE($I39, ""\,"", ""."")), """")"),"")</f>
        <v/>
      </c>
      <c r="O39" s="33" t="str">
        <f>IF(Account!$F39&lt;&gt;"", DATEVALUE(MID($A39,4,3) &amp; LEFT($A39,3) &amp; RIGHT($A39,4)) + TIMEVALUE($B39), "")</f>
        <v/>
      </c>
      <c r="P39" s="34" t="str">
        <f>IF(Account!$F39&lt;&gt;"", DATEVALUE(MID($C39,4,3) &amp; LEFT($C39,3) &amp; RIGHT($C39,4)), "")</f>
        <v/>
      </c>
      <c r="Q39" s="35" t="str">
        <f t="array" ref="Q39">IF($R39&lt;&gt;"",IFERROR(INDEX(ISIN!$B:$B,MATCH($R39,ISIN!$C:$C,0))),)</f>
        <v/>
      </c>
      <c r="R39" s="36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5" t="str">
        <f t="shared" si="1"/>
        <v/>
      </c>
      <c r="T39" s="37" t="str">
        <f t="shared" si="2"/>
        <v/>
      </c>
      <c r="U39" s="38" t="str">
        <f t="shared" si="3"/>
        <v/>
      </c>
      <c r="V39" s="32" t="str">
        <f t="shared" si="4"/>
        <v/>
      </c>
      <c r="W39" s="39" t="str">
        <f>IFERROR(__xludf.DUMMYFUNCTION(" IF(Account!$F39&lt;&gt;"""", SPLIT(Account!$F39, "" ""), """")"),"")</f>
        <v/>
      </c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</row>
    <row r="40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2"/>
      <c r="L40" s="13"/>
      <c r="M40" s="30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2" t="str">
        <f>IFERROR(__xludf.DUMMYFUNCTION("IF(Account!$F40&lt;&gt;"""", VALUE(REGEXREPLACE($I40, ""\,"", ""."")), """")"),"")</f>
        <v/>
      </c>
      <c r="O40" s="33" t="str">
        <f>IF(Account!$F40&lt;&gt;"", DATEVALUE(MID($A40,4,3) &amp; LEFT($A40,3) &amp; RIGHT($A40,4)) + TIMEVALUE($B40), "")</f>
        <v/>
      </c>
      <c r="P40" s="34" t="str">
        <f>IF(Account!$F40&lt;&gt;"", DATEVALUE(MID($C40,4,3) &amp; LEFT($C40,3) &amp; RIGHT($C40,4)), "")</f>
        <v/>
      </c>
      <c r="Q40" s="35" t="str">
        <f t="array" ref="Q40">IF($R40&lt;&gt;"",IFERROR(INDEX(ISIN!$B:$B,MATCH($R40,ISIN!$C:$C,0))),)</f>
        <v/>
      </c>
      <c r="R40" s="36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5" t="str">
        <f t="shared" si="1"/>
        <v/>
      </c>
      <c r="T40" s="37" t="str">
        <f t="shared" si="2"/>
        <v/>
      </c>
      <c r="U40" s="38" t="str">
        <f t="shared" si="3"/>
        <v/>
      </c>
      <c r="V40" s="32" t="str">
        <f t="shared" si="4"/>
        <v/>
      </c>
      <c r="W40" s="39" t="str">
        <f>IFERROR(__xludf.DUMMYFUNCTION(" IF(Account!$F40&lt;&gt;"""", SPLIT(Account!$F40, "" ""), """")"),"")</f>
        <v/>
      </c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</row>
    <row r="41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3"/>
      <c r="M41" s="30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2" t="str">
        <f>IFERROR(__xludf.DUMMYFUNCTION("IF(Account!$F41&lt;&gt;"""", VALUE(REGEXREPLACE($I41, ""\,"", ""."")), """")"),"")</f>
        <v/>
      </c>
      <c r="O41" s="33" t="str">
        <f>IF(Account!$F41&lt;&gt;"", DATEVALUE(MID($A41,4,3) &amp; LEFT($A41,3) &amp; RIGHT($A41,4)) + TIMEVALUE($B41), "")</f>
        <v/>
      </c>
      <c r="P41" s="34" t="str">
        <f>IF(Account!$F41&lt;&gt;"", DATEVALUE(MID($C41,4,3) &amp; LEFT($C41,3) &amp; RIGHT($C41,4)), "")</f>
        <v/>
      </c>
      <c r="Q41" s="35" t="str">
        <f t="array" ref="Q41">IF($R41&lt;&gt;"",IFERROR(INDEX(ISIN!$B:$B,MATCH($R41,ISIN!$C:$C,0))),)</f>
        <v/>
      </c>
      <c r="R41" s="36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5" t="str">
        <f t="shared" si="1"/>
        <v/>
      </c>
      <c r="T41" s="37" t="str">
        <f t="shared" si="2"/>
        <v/>
      </c>
      <c r="U41" s="38" t="str">
        <f t="shared" si="3"/>
        <v/>
      </c>
      <c r="V41" s="32" t="str">
        <f t="shared" si="4"/>
        <v/>
      </c>
      <c r="W41" s="39" t="str">
        <f>IFERROR(__xludf.DUMMYFUNCTION(" IF(Account!$F41&lt;&gt;"""", SPLIT(Account!$F41, "" ""), """")"),"")</f>
        <v/>
      </c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</row>
    <row r="42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3"/>
      <c r="M42" s="30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2" t="str">
        <f>IFERROR(__xludf.DUMMYFUNCTION("IF(Account!$F42&lt;&gt;"""", VALUE(REGEXREPLACE($I42, ""\,"", ""."")), """")"),"")</f>
        <v/>
      </c>
      <c r="O42" s="33" t="str">
        <f>IF(Account!$F42&lt;&gt;"", DATEVALUE(MID($A42,4,3) &amp; LEFT($A42,3) &amp; RIGHT($A42,4)) + TIMEVALUE($B42), "")</f>
        <v/>
      </c>
      <c r="P42" s="34" t="str">
        <f>IF(Account!$F42&lt;&gt;"", DATEVALUE(MID($C42,4,3) &amp; LEFT($C42,3) &amp; RIGHT($C42,4)), "")</f>
        <v/>
      </c>
      <c r="Q42" s="35" t="str">
        <f t="array" ref="Q42">IF($R42&lt;&gt;"",IFERROR(INDEX(ISIN!$B:$B,MATCH($R42,ISIN!$C:$C,0))),)</f>
        <v/>
      </c>
      <c r="R42" s="36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5" t="str">
        <f t="shared" si="1"/>
        <v/>
      </c>
      <c r="T42" s="37" t="str">
        <f t="shared" si="2"/>
        <v/>
      </c>
      <c r="U42" s="38" t="str">
        <f t="shared" si="3"/>
        <v/>
      </c>
      <c r="V42" s="32" t="str">
        <f t="shared" si="4"/>
        <v/>
      </c>
      <c r="W42" s="39" t="str">
        <f>IFERROR(__xludf.DUMMYFUNCTION(" IF(Account!$F42&lt;&gt;"""", SPLIT(Account!$F42, "" ""), """")"),"")</f>
        <v/>
      </c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</row>
    <row r="43">
      <c r="A43" s="12"/>
      <c r="B43" s="12"/>
      <c r="C43" s="12"/>
      <c r="D43" s="12"/>
      <c r="E43" s="12"/>
      <c r="F43" s="13"/>
      <c r="G43" s="12"/>
      <c r="H43" s="12"/>
      <c r="I43" s="12"/>
      <c r="J43" s="12"/>
      <c r="K43" s="12"/>
      <c r="L43" s="13"/>
      <c r="M43" s="30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2" t="str">
        <f>IFERROR(__xludf.DUMMYFUNCTION("IF(Account!$F43&lt;&gt;"""", VALUE(REGEXREPLACE($I43, ""\,"", ""."")), """")"),"")</f>
        <v/>
      </c>
      <c r="O43" s="33" t="str">
        <f>IF(Account!$F43&lt;&gt;"", DATEVALUE(MID($A43,4,3) &amp; LEFT($A43,3) &amp; RIGHT($A43,4)) + TIMEVALUE($B43), "")</f>
        <v/>
      </c>
      <c r="P43" s="34" t="str">
        <f>IF(Account!$F43&lt;&gt;"", DATEVALUE(MID($C43,4,3) &amp; LEFT($C43,3) &amp; RIGHT($C43,4)), "")</f>
        <v/>
      </c>
      <c r="Q43" s="35" t="str">
        <f t="array" ref="Q43">IF($R43&lt;&gt;"",IFERROR(INDEX(ISIN!$B:$B,MATCH($R43,ISIN!$C:$C,0))),)</f>
        <v/>
      </c>
      <c r="R43" s="36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5" t="str">
        <f t="shared" si="1"/>
        <v/>
      </c>
      <c r="T43" s="37" t="str">
        <f t="shared" si="2"/>
        <v/>
      </c>
      <c r="U43" s="38" t="str">
        <f t="shared" si="3"/>
        <v/>
      </c>
      <c r="V43" s="32" t="str">
        <f t="shared" si="4"/>
        <v/>
      </c>
      <c r="W43" s="39" t="str">
        <f>IFERROR(__xludf.DUMMYFUNCTION(" IF(Account!$F43&lt;&gt;"""", SPLIT(Account!$F43, "" ""), """")"),"")</f>
        <v/>
      </c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</row>
    <row r="44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3"/>
      <c r="M44" s="30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2" t="str">
        <f>IFERROR(__xludf.DUMMYFUNCTION("IF(Account!$F44&lt;&gt;"""", VALUE(REGEXREPLACE($I44, ""\,"", ""."")), """")"),"")</f>
        <v/>
      </c>
      <c r="O44" s="33" t="str">
        <f>IF(Account!$F44&lt;&gt;"", DATEVALUE(MID($A44,4,3) &amp; LEFT($A44,3) &amp; RIGHT($A44,4)) + TIMEVALUE($B44), "")</f>
        <v/>
      </c>
      <c r="P44" s="34" t="str">
        <f>IF(Account!$F44&lt;&gt;"", DATEVALUE(MID($C44,4,3) &amp; LEFT($C44,3) &amp; RIGHT($C44,4)), "")</f>
        <v/>
      </c>
      <c r="Q44" s="35" t="str">
        <f t="array" ref="Q44">IF($R44&lt;&gt;"",IFERROR(INDEX(ISIN!$B:$B,MATCH($R44,ISIN!$C:$C,0))),)</f>
        <v/>
      </c>
      <c r="R44" s="36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5" t="str">
        <f t="shared" si="1"/>
        <v/>
      </c>
      <c r="T44" s="37" t="str">
        <f t="shared" si="2"/>
        <v/>
      </c>
      <c r="U44" s="38" t="str">
        <f t="shared" si="3"/>
        <v/>
      </c>
      <c r="V44" s="32" t="str">
        <f t="shared" si="4"/>
        <v/>
      </c>
      <c r="W44" s="39" t="str">
        <f>IFERROR(__xludf.DUMMYFUNCTION(" IF(Account!$F44&lt;&gt;"""", SPLIT(Account!$F44, "" ""), """")"),"")</f>
        <v/>
      </c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</row>
    <row r="45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3"/>
      <c r="M45" s="30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2" t="str">
        <f>IFERROR(__xludf.DUMMYFUNCTION("IF(Account!$F45&lt;&gt;"""", VALUE(REGEXREPLACE($I45, ""\,"", ""."")), """")"),"")</f>
        <v/>
      </c>
      <c r="O45" s="33" t="str">
        <f>IF(Account!$F45&lt;&gt;"", DATEVALUE(MID($A45,4,3) &amp; LEFT($A45,3) &amp; RIGHT($A45,4)) + TIMEVALUE($B45), "")</f>
        <v/>
      </c>
      <c r="P45" s="34" t="str">
        <f>IF(Account!$F45&lt;&gt;"", DATEVALUE(MID($C45,4,3) &amp; LEFT($C45,3) &amp; RIGHT($C45,4)), "")</f>
        <v/>
      </c>
      <c r="Q45" s="35" t="str">
        <f t="array" ref="Q45">IF($R45&lt;&gt;"",IFERROR(INDEX(ISIN!$B:$B,MATCH($R45,ISIN!$C:$C,0))),)</f>
        <v/>
      </c>
      <c r="R45" s="36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5" t="str">
        <f t="shared" si="1"/>
        <v/>
      </c>
      <c r="T45" s="37" t="str">
        <f t="shared" si="2"/>
        <v/>
      </c>
      <c r="U45" s="38" t="str">
        <f t="shared" si="3"/>
        <v/>
      </c>
      <c r="V45" s="32" t="str">
        <f t="shared" si="4"/>
        <v/>
      </c>
      <c r="W45" s="39" t="str">
        <f>IFERROR(__xludf.DUMMYFUNCTION(" IF(Account!$F45&lt;&gt;"""", SPLIT(Account!$F45, "" ""), """")"),"")</f>
        <v/>
      </c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</row>
    <row r="46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3"/>
      <c r="M46" s="30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2" t="str">
        <f>IFERROR(__xludf.DUMMYFUNCTION("IF(Account!$F46&lt;&gt;"""", VALUE(REGEXREPLACE($I46, ""\,"", ""."")), """")"),"")</f>
        <v/>
      </c>
      <c r="O46" s="33" t="str">
        <f>IF(Account!$F46&lt;&gt;"", DATEVALUE(MID($A46,4,3) &amp; LEFT($A46,3) &amp; RIGHT($A46,4)) + TIMEVALUE($B46), "")</f>
        <v/>
      </c>
      <c r="P46" s="34" t="str">
        <f>IF(Account!$F46&lt;&gt;"", DATEVALUE(MID($C46,4,3) &amp; LEFT($C46,3) &amp; RIGHT($C46,4)), "")</f>
        <v/>
      </c>
      <c r="Q46" s="35" t="str">
        <f t="array" ref="Q46">IF($R46&lt;&gt;"",IFERROR(INDEX(ISIN!$B:$B,MATCH($R46,ISIN!$C:$C,0))),)</f>
        <v/>
      </c>
      <c r="R46" s="36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5" t="str">
        <f t="shared" si="1"/>
        <v/>
      </c>
      <c r="T46" s="37" t="str">
        <f t="shared" si="2"/>
        <v/>
      </c>
      <c r="U46" s="38" t="str">
        <f t="shared" si="3"/>
        <v/>
      </c>
      <c r="V46" s="32" t="str">
        <f t="shared" si="4"/>
        <v/>
      </c>
      <c r="W46" s="39" t="str">
        <f>IFERROR(__xludf.DUMMYFUNCTION(" IF(Account!$F46&lt;&gt;"""", SPLIT(Account!$F46, "" ""), """")"),"")</f>
        <v/>
      </c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</row>
    <row r="47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3"/>
      <c r="M47" s="30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2" t="str">
        <f>IFERROR(__xludf.DUMMYFUNCTION("IF(Account!$F47&lt;&gt;"""", VALUE(REGEXREPLACE($I47, ""\,"", ""."")), """")"),"")</f>
        <v/>
      </c>
      <c r="O47" s="33" t="str">
        <f>IF(Account!$F47&lt;&gt;"", DATEVALUE(MID($A47,4,3) &amp; LEFT($A47,3) &amp; RIGHT($A47,4)) + TIMEVALUE($B47), "")</f>
        <v/>
      </c>
      <c r="P47" s="34" t="str">
        <f>IF(Account!$F47&lt;&gt;"", DATEVALUE(MID($C47,4,3) &amp; LEFT($C47,3) &amp; RIGHT($C47,4)), "")</f>
        <v/>
      </c>
      <c r="Q47" s="35" t="str">
        <f t="array" ref="Q47">IF($R47&lt;&gt;"",IFERROR(INDEX(ISIN!$B:$B,MATCH($R47,ISIN!$C:$C,0))),)</f>
        <v/>
      </c>
      <c r="R47" s="36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5" t="str">
        <f t="shared" si="1"/>
        <v/>
      </c>
      <c r="T47" s="37" t="str">
        <f t="shared" si="2"/>
        <v/>
      </c>
      <c r="U47" s="38" t="str">
        <f t="shared" si="3"/>
        <v/>
      </c>
      <c r="V47" s="32" t="str">
        <f t="shared" si="4"/>
        <v/>
      </c>
      <c r="W47" s="39" t="str">
        <f>IFERROR(__xludf.DUMMYFUNCTION(" IF(Account!$F47&lt;&gt;"""", SPLIT(Account!$F47, "" ""), """")"),"")</f>
        <v/>
      </c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</row>
    <row r="48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2"/>
      <c r="L48" s="13"/>
      <c r="M48" s="30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2" t="str">
        <f>IFERROR(__xludf.DUMMYFUNCTION("IF(Account!$F48&lt;&gt;"""", VALUE(REGEXREPLACE($I48, ""\,"", ""."")), """")"),"")</f>
        <v/>
      </c>
      <c r="O48" s="33" t="str">
        <f>IF(Account!$F48&lt;&gt;"", DATEVALUE(MID($A48,4,3) &amp; LEFT($A48,3) &amp; RIGHT($A48,4)) + TIMEVALUE($B48), "")</f>
        <v/>
      </c>
      <c r="P48" s="34" t="str">
        <f>IF(Account!$F48&lt;&gt;"", DATEVALUE(MID($C48,4,3) &amp; LEFT($C48,3) &amp; RIGHT($C48,4)), "")</f>
        <v/>
      </c>
      <c r="Q48" s="35" t="str">
        <f t="array" ref="Q48">IF($R48&lt;&gt;"",IFERROR(INDEX(ISIN!$B:$B,MATCH($R48,ISIN!$C:$C,0))),)</f>
        <v/>
      </c>
      <c r="R48" s="36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5" t="str">
        <f t="shared" si="1"/>
        <v/>
      </c>
      <c r="T48" s="37" t="str">
        <f t="shared" si="2"/>
        <v/>
      </c>
      <c r="U48" s="38" t="str">
        <f t="shared" si="3"/>
        <v/>
      </c>
      <c r="V48" s="32" t="str">
        <f t="shared" si="4"/>
        <v/>
      </c>
      <c r="W48" s="39" t="str">
        <f>IFERROR(__xludf.DUMMYFUNCTION(" IF(Account!$F48&lt;&gt;"""", SPLIT(Account!$F48, "" ""), """")"),"")</f>
        <v/>
      </c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</row>
    <row r="49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2"/>
      <c r="L49" s="13"/>
      <c r="M49" s="30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2" t="str">
        <f>IFERROR(__xludf.DUMMYFUNCTION("IF(Account!$F49&lt;&gt;"""", VALUE(REGEXREPLACE($I49, ""\,"", ""."")), """")"),"")</f>
        <v/>
      </c>
      <c r="O49" s="33" t="str">
        <f>IF(Account!$F49&lt;&gt;"", DATEVALUE(MID($A49,4,3) &amp; LEFT($A49,3) &amp; RIGHT($A49,4)) + TIMEVALUE($B49), "")</f>
        <v/>
      </c>
      <c r="P49" s="34" t="str">
        <f>IF(Account!$F49&lt;&gt;"", DATEVALUE(MID($C49,4,3) &amp; LEFT($C49,3) &amp; RIGHT($C49,4)), "")</f>
        <v/>
      </c>
      <c r="Q49" s="35" t="str">
        <f t="array" ref="Q49">IF($R49&lt;&gt;"",IFERROR(INDEX(ISIN!$B:$B,MATCH($R49,ISIN!$C:$C,0))),)</f>
        <v/>
      </c>
      <c r="R49" s="36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5" t="str">
        <f t="shared" si="1"/>
        <v/>
      </c>
      <c r="T49" s="37" t="str">
        <f t="shared" si="2"/>
        <v/>
      </c>
      <c r="U49" s="38" t="str">
        <f t="shared" si="3"/>
        <v/>
      </c>
      <c r="V49" s="32" t="str">
        <f t="shared" si="4"/>
        <v/>
      </c>
      <c r="W49" s="39" t="str">
        <f>IFERROR(__xludf.DUMMYFUNCTION(" IF(Account!$F49&lt;&gt;"""", SPLIT(Account!$F49, "" ""), """")"),"")</f>
        <v/>
      </c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</row>
    <row r="50">
      <c r="A50" s="12"/>
      <c r="B50" s="12"/>
      <c r="C50" s="12"/>
      <c r="D50" s="12"/>
      <c r="E50" s="12"/>
      <c r="F50" s="13"/>
      <c r="G50" s="12"/>
      <c r="H50" s="12"/>
      <c r="I50" s="12"/>
      <c r="J50" s="12"/>
      <c r="K50" s="12"/>
      <c r="L50" s="13"/>
      <c r="M50" s="30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2" t="str">
        <f>IFERROR(__xludf.DUMMYFUNCTION("IF(Account!$F50&lt;&gt;"""", VALUE(REGEXREPLACE($I50, ""\,"", ""."")), """")"),"")</f>
        <v/>
      </c>
      <c r="O50" s="33" t="str">
        <f>IF(Account!$F50&lt;&gt;"", DATEVALUE(MID($A50,4,3) &amp; LEFT($A50,3) &amp; RIGHT($A50,4)) + TIMEVALUE($B50), "")</f>
        <v/>
      </c>
      <c r="P50" s="34" t="str">
        <f>IF(Account!$F50&lt;&gt;"", DATEVALUE(MID($C50,4,3) &amp; LEFT($C50,3) &amp; RIGHT($C50,4)), "")</f>
        <v/>
      </c>
      <c r="Q50" s="35" t="str">
        <f t="array" ref="Q50">IF($R50&lt;&gt;"",IFERROR(INDEX(ISIN!$B:$B,MATCH($R50,ISIN!$C:$C,0))),)</f>
        <v/>
      </c>
      <c r="R50" s="36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5" t="str">
        <f t="shared" si="1"/>
        <v/>
      </c>
      <c r="T50" s="37" t="str">
        <f t="shared" si="2"/>
        <v/>
      </c>
      <c r="U50" s="38" t="str">
        <f t="shared" si="3"/>
        <v/>
      </c>
      <c r="V50" s="32" t="str">
        <f t="shared" si="4"/>
        <v/>
      </c>
      <c r="W50" s="39" t="str">
        <f>IFERROR(__xludf.DUMMYFUNCTION(" IF(Account!$F50&lt;&gt;"""", SPLIT(Account!$F50, "" ""), """")"),"")</f>
        <v/>
      </c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</row>
    <row r="51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2"/>
      <c r="L51" s="13"/>
      <c r="M51" s="30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2" t="str">
        <f>IFERROR(__xludf.DUMMYFUNCTION("IF(Account!$F51&lt;&gt;"""", VALUE(REGEXREPLACE($I51, ""\,"", ""."")), """")"),"")</f>
        <v/>
      </c>
      <c r="O51" s="33" t="str">
        <f>IF(Account!$F51&lt;&gt;"", DATEVALUE(MID($A51,4,3) &amp; LEFT($A51,3) &amp; RIGHT($A51,4)) + TIMEVALUE($B51), "")</f>
        <v/>
      </c>
      <c r="P51" s="34" t="str">
        <f>IF(Account!$F51&lt;&gt;"", DATEVALUE(MID($C51,4,3) &amp; LEFT($C51,3) &amp; RIGHT($C51,4)), "")</f>
        <v/>
      </c>
      <c r="Q51" s="35" t="str">
        <f t="array" ref="Q51">IF($R51&lt;&gt;"",IFERROR(INDEX(ISIN!$B:$B,MATCH($R51,ISIN!$C:$C,0))),)</f>
        <v/>
      </c>
      <c r="R51" s="36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5" t="str">
        <f t="shared" si="1"/>
        <v/>
      </c>
      <c r="T51" s="37" t="str">
        <f t="shared" si="2"/>
        <v/>
      </c>
      <c r="U51" s="38" t="str">
        <f t="shared" si="3"/>
        <v/>
      </c>
      <c r="V51" s="32" t="str">
        <f t="shared" si="4"/>
        <v/>
      </c>
      <c r="W51" s="39" t="str">
        <f>IFERROR(__xludf.DUMMYFUNCTION(" IF(Account!$F51&lt;&gt;"""", SPLIT(Account!$F51, "" ""), """")"),"")</f>
        <v/>
      </c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</row>
    <row r="52">
      <c r="A52" s="12"/>
      <c r="B52" s="12"/>
      <c r="C52" s="12"/>
      <c r="D52" s="12"/>
      <c r="E52" s="12"/>
      <c r="F52" s="13"/>
      <c r="G52" s="12"/>
      <c r="H52" s="12"/>
      <c r="I52" s="12"/>
      <c r="J52" s="12"/>
      <c r="K52" s="12"/>
      <c r="L52" s="13"/>
      <c r="M52" s="30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2" t="str">
        <f>IFERROR(__xludf.DUMMYFUNCTION("IF(Account!$F52&lt;&gt;"""", VALUE(REGEXREPLACE($I52, ""\,"", ""."")), """")"),"")</f>
        <v/>
      </c>
      <c r="O52" s="33" t="str">
        <f>IF(Account!$F52&lt;&gt;"", DATEVALUE(MID($A52,4,3) &amp; LEFT($A52,3) &amp; RIGHT($A52,4)) + TIMEVALUE($B52), "")</f>
        <v/>
      </c>
      <c r="P52" s="34" t="str">
        <f>IF(Account!$F52&lt;&gt;"", DATEVALUE(MID($C52,4,3) &amp; LEFT($C52,3) &amp; RIGHT($C52,4)), "")</f>
        <v/>
      </c>
      <c r="Q52" s="35" t="str">
        <f t="array" ref="Q52">IF($R52&lt;&gt;"",IFERROR(INDEX(ISIN!$B:$B,MATCH($R52,ISIN!$C:$C,0))),)</f>
        <v/>
      </c>
      <c r="R52" s="36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5" t="str">
        <f t="shared" si="1"/>
        <v/>
      </c>
      <c r="T52" s="37" t="str">
        <f t="shared" si="2"/>
        <v/>
      </c>
      <c r="U52" s="38" t="str">
        <f t="shared" si="3"/>
        <v/>
      </c>
      <c r="V52" s="32" t="str">
        <f t="shared" si="4"/>
        <v/>
      </c>
      <c r="W52" s="39" t="str">
        <f>IFERROR(__xludf.DUMMYFUNCTION(" IF(Account!$F52&lt;&gt;"""", SPLIT(Account!$F52, "" ""), """")"),"")</f>
        <v/>
      </c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</row>
    <row r="53">
      <c r="A53" s="12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3"/>
      <c r="M53" s="30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2" t="str">
        <f>IFERROR(__xludf.DUMMYFUNCTION("IF(Account!$F53&lt;&gt;"""", VALUE(REGEXREPLACE($I53, ""\,"", ""."")), """")"),"")</f>
        <v/>
      </c>
      <c r="O53" s="33" t="str">
        <f>IF(Account!$F53&lt;&gt;"", DATEVALUE(MID($A53,4,3) &amp; LEFT($A53,3) &amp; RIGHT($A53,4)) + TIMEVALUE($B53), "")</f>
        <v/>
      </c>
      <c r="P53" s="34" t="str">
        <f>IF(Account!$F53&lt;&gt;"", DATEVALUE(MID($C53,4,3) &amp; LEFT($C53,3) &amp; RIGHT($C53,4)), "")</f>
        <v/>
      </c>
      <c r="Q53" s="35" t="str">
        <f t="array" ref="Q53">IF($R53&lt;&gt;"",IFERROR(INDEX(ISIN!$B:$B,MATCH($R53,ISIN!$C:$C,0))),)</f>
        <v/>
      </c>
      <c r="R53" s="36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5" t="str">
        <f t="shared" si="1"/>
        <v/>
      </c>
      <c r="T53" s="37" t="str">
        <f t="shared" si="2"/>
        <v/>
      </c>
      <c r="U53" s="38" t="str">
        <f t="shared" si="3"/>
        <v/>
      </c>
      <c r="V53" s="32" t="str">
        <f t="shared" si="4"/>
        <v/>
      </c>
      <c r="W53" s="39" t="str">
        <f>IFERROR(__xludf.DUMMYFUNCTION(" IF(Account!$F53&lt;&gt;"""", SPLIT(Account!$F53, "" ""), """")"),"")</f>
        <v/>
      </c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</row>
    <row r="54">
      <c r="A54" s="12"/>
      <c r="B54" s="12"/>
      <c r="C54" s="12"/>
      <c r="D54" s="12"/>
      <c r="E54" s="12"/>
      <c r="F54" s="13"/>
      <c r="G54" s="12"/>
      <c r="H54" s="12"/>
      <c r="I54" s="12"/>
      <c r="J54" s="12"/>
      <c r="K54" s="12"/>
      <c r="L54" s="13"/>
      <c r="M54" s="30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2" t="str">
        <f>IFERROR(__xludf.DUMMYFUNCTION("IF(Account!$F54&lt;&gt;"""", VALUE(REGEXREPLACE($I54, ""\,"", ""."")), """")"),"")</f>
        <v/>
      </c>
      <c r="O54" s="33" t="str">
        <f>IF(Account!$F54&lt;&gt;"", DATEVALUE(MID($A54,4,3) &amp; LEFT($A54,3) &amp; RIGHT($A54,4)) + TIMEVALUE($B54), "")</f>
        <v/>
      </c>
      <c r="P54" s="34" t="str">
        <f>IF(Account!$F54&lt;&gt;"", DATEVALUE(MID($C54,4,3) &amp; LEFT($C54,3) &amp; RIGHT($C54,4)), "")</f>
        <v/>
      </c>
      <c r="Q54" s="35" t="str">
        <f t="array" ref="Q54">IF($R54&lt;&gt;"",IFERROR(INDEX(ISIN!$B:$B,MATCH($R54,ISIN!$C:$C,0))),)</f>
        <v/>
      </c>
      <c r="R54" s="36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5" t="str">
        <f t="shared" si="1"/>
        <v/>
      </c>
      <c r="T54" s="37" t="str">
        <f t="shared" si="2"/>
        <v/>
      </c>
      <c r="U54" s="38" t="str">
        <f t="shared" si="3"/>
        <v/>
      </c>
      <c r="V54" s="32" t="str">
        <f t="shared" si="4"/>
        <v/>
      </c>
      <c r="W54" s="39" t="str">
        <f>IFERROR(__xludf.DUMMYFUNCTION(" IF(Account!$F54&lt;&gt;"""", SPLIT(Account!$F54, "" ""), """")"),"")</f>
        <v/>
      </c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</row>
    <row r="55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3"/>
      <c r="M55" s="30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2" t="str">
        <f>IFERROR(__xludf.DUMMYFUNCTION("IF(Account!$F55&lt;&gt;"""", VALUE(REGEXREPLACE($I55, ""\,"", ""."")), """")"),"")</f>
        <v/>
      </c>
      <c r="O55" s="33" t="str">
        <f>IF(Account!$F55&lt;&gt;"", DATEVALUE(MID($A55,4,3) &amp; LEFT($A55,3) &amp; RIGHT($A55,4)) + TIMEVALUE($B55), "")</f>
        <v/>
      </c>
      <c r="P55" s="34" t="str">
        <f>IF(Account!$F55&lt;&gt;"", DATEVALUE(MID($C55,4,3) &amp; LEFT($C55,3) &amp; RIGHT($C55,4)), "")</f>
        <v/>
      </c>
      <c r="Q55" s="35" t="str">
        <f t="array" ref="Q55">IF($R55&lt;&gt;"",IFERROR(INDEX(ISIN!$B:$B,MATCH($R55,ISIN!$C:$C,0))),)</f>
        <v/>
      </c>
      <c r="R55" s="36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5" t="str">
        <f t="shared" si="1"/>
        <v/>
      </c>
      <c r="T55" s="37" t="str">
        <f t="shared" si="2"/>
        <v/>
      </c>
      <c r="U55" s="38" t="str">
        <f t="shared" si="3"/>
        <v/>
      </c>
      <c r="V55" s="32" t="str">
        <f t="shared" si="4"/>
        <v/>
      </c>
      <c r="W55" s="39" t="str">
        <f>IFERROR(__xludf.DUMMYFUNCTION(" IF(Account!$F55&lt;&gt;"""", SPLIT(Account!$F55, "" ""), """")"),"")</f>
        <v/>
      </c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</row>
    <row r="56">
      <c r="A56" s="12"/>
      <c r="B56" s="12"/>
      <c r="C56" s="12"/>
      <c r="D56" s="12"/>
      <c r="E56" s="12"/>
      <c r="F56" s="13"/>
      <c r="G56" s="12"/>
      <c r="H56" s="12"/>
      <c r="I56" s="12"/>
      <c r="J56" s="12"/>
      <c r="K56" s="12"/>
      <c r="L56" s="13"/>
      <c r="M56" s="30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2" t="str">
        <f>IFERROR(__xludf.DUMMYFUNCTION("IF(Account!$F56&lt;&gt;"""", VALUE(REGEXREPLACE($I56, ""\,"", ""."")), """")"),"")</f>
        <v/>
      </c>
      <c r="O56" s="33" t="str">
        <f>IF(Account!$F56&lt;&gt;"", DATEVALUE(MID($A56,4,3) &amp; LEFT($A56,3) &amp; RIGHT($A56,4)) + TIMEVALUE($B56), "")</f>
        <v/>
      </c>
      <c r="P56" s="34" t="str">
        <f>IF(Account!$F56&lt;&gt;"", DATEVALUE(MID($C56,4,3) &amp; LEFT($C56,3) &amp; RIGHT($C56,4)), "")</f>
        <v/>
      </c>
      <c r="Q56" s="35" t="str">
        <f t="array" ref="Q56">IF($R56&lt;&gt;"",IFERROR(INDEX(ISIN!$B:$B,MATCH($R56,ISIN!$C:$C,0))),)</f>
        <v/>
      </c>
      <c r="R56" s="36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5" t="str">
        <f t="shared" si="1"/>
        <v/>
      </c>
      <c r="T56" s="37" t="str">
        <f t="shared" si="2"/>
        <v/>
      </c>
      <c r="U56" s="38" t="str">
        <f t="shared" si="3"/>
        <v/>
      </c>
      <c r="V56" s="32" t="str">
        <f t="shared" si="4"/>
        <v/>
      </c>
      <c r="W56" s="39" t="str">
        <f>IFERROR(__xludf.DUMMYFUNCTION(" IF(Account!$F56&lt;&gt;"""", SPLIT(Account!$F56, "" ""), """")"),"")</f>
        <v/>
      </c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</row>
    <row r="57">
      <c r="A57" s="12"/>
      <c r="B57" s="12"/>
      <c r="C57" s="12"/>
      <c r="D57" s="12"/>
      <c r="E57" s="12"/>
      <c r="F57" s="13"/>
      <c r="G57" s="12"/>
      <c r="H57" s="12"/>
      <c r="I57" s="12"/>
      <c r="J57" s="12"/>
      <c r="K57" s="12"/>
      <c r="L57" s="13"/>
      <c r="M57" s="30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2" t="str">
        <f>IFERROR(__xludf.DUMMYFUNCTION("IF(Account!$F57&lt;&gt;"""", VALUE(REGEXREPLACE($I57, ""\,"", ""."")), """")"),"")</f>
        <v/>
      </c>
      <c r="O57" s="33" t="str">
        <f>IF(Account!$F57&lt;&gt;"", DATEVALUE(MID($A57,4,3) &amp; LEFT($A57,3) &amp; RIGHT($A57,4)) + TIMEVALUE($B57), "")</f>
        <v/>
      </c>
      <c r="P57" s="34" t="str">
        <f>IF(Account!$F57&lt;&gt;"", DATEVALUE(MID($C57,4,3) &amp; LEFT($C57,3) &amp; RIGHT($C57,4)), "")</f>
        <v/>
      </c>
      <c r="Q57" s="35" t="str">
        <f t="array" ref="Q57">IF($R57&lt;&gt;"",IFERROR(INDEX(ISIN!$B:$B,MATCH($R57,ISIN!$C:$C,0))),)</f>
        <v/>
      </c>
      <c r="R57" s="36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5" t="str">
        <f t="shared" si="1"/>
        <v/>
      </c>
      <c r="T57" s="37" t="str">
        <f t="shared" si="2"/>
        <v/>
      </c>
      <c r="U57" s="38" t="str">
        <f t="shared" si="3"/>
        <v/>
      </c>
      <c r="V57" s="32" t="str">
        <f t="shared" si="4"/>
        <v/>
      </c>
      <c r="W57" s="39" t="str">
        <f>IFERROR(__xludf.DUMMYFUNCTION(" IF(Account!$F57&lt;&gt;"""", SPLIT(Account!$F57, "" ""), """")"),"")</f>
        <v/>
      </c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</row>
    <row r="58">
      <c r="A58" s="12"/>
      <c r="B58" s="12"/>
      <c r="C58" s="12"/>
      <c r="D58" s="12"/>
      <c r="E58" s="12"/>
      <c r="F58" s="13"/>
      <c r="G58" s="12"/>
      <c r="H58" s="12"/>
      <c r="I58" s="12"/>
      <c r="J58" s="12"/>
      <c r="K58" s="12"/>
      <c r="L58" s="13"/>
      <c r="M58" s="30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2" t="str">
        <f>IFERROR(__xludf.DUMMYFUNCTION("IF(Account!$F58&lt;&gt;"""", VALUE(REGEXREPLACE($I58, ""\,"", ""."")), """")"),"")</f>
        <v/>
      </c>
      <c r="O58" s="33" t="str">
        <f>IF(Account!$F58&lt;&gt;"", DATEVALUE(MID($A58,4,3) &amp; LEFT($A58,3) &amp; RIGHT($A58,4)) + TIMEVALUE($B58), "")</f>
        <v/>
      </c>
      <c r="P58" s="34" t="str">
        <f>IF(Account!$F58&lt;&gt;"", DATEVALUE(MID($C58,4,3) &amp; LEFT($C58,3) &amp; RIGHT($C58,4)), "")</f>
        <v/>
      </c>
      <c r="Q58" s="35" t="str">
        <f t="array" ref="Q58">IF($R58&lt;&gt;"",IFERROR(INDEX(ISIN!$B:$B,MATCH($R58,ISIN!$C:$C,0))),)</f>
        <v/>
      </c>
      <c r="R58" s="36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5" t="str">
        <f t="shared" si="1"/>
        <v/>
      </c>
      <c r="T58" s="37" t="str">
        <f t="shared" si="2"/>
        <v/>
      </c>
      <c r="U58" s="38" t="str">
        <f t="shared" si="3"/>
        <v/>
      </c>
      <c r="V58" s="32" t="str">
        <f t="shared" si="4"/>
        <v/>
      </c>
      <c r="W58" s="39" t="str">
        <f>IFERROR(__xludf.DUMMYFUNCTION(" IF(Account!$F58&lt;&gt;"""", SPLIT(Account!$F58, "" ""), """")"),"")</f>
        <v/>
      </c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</row>
    <row r="59">
      <c r="A59" s="12"/>
      <c r="B59" s="12"/>
      <c r="C59" s="12"/>
      <c r="D59" s="12"/>
      <c r="E59" s="12"/>
      <c r="F59" s="13"/>
      <c r="G59" s="12"/>
      <c r="H59" s="12"/>
      <c r="I59" s="12"/>
      <c r="J59" s="12"/>
      <c r="K59" s="12"/>
      <c r="L59" s="13"/>
      <c r="M59" s="30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2" t="str">
        <f>IFERROR(__xludf.DUMMYFUNCTION("IF(Account!$F59&lt;&gt;"""", VALUE(REGEXREPLACE($I59, ""\,"", ""."")), """")"),"")</f>
        <v/>
      </c>
      <c r="O59" s="33" t="str">
        <f>IF(Account!$F59&lt;&gt;"", DATEVALUE(MID($A59,4,3) &amp; LEFT($A59,3) &amp; RIGHT($A59,4)) + TIMEVALUE($B59), "")</f>
        <v/>
      </c>
      <c r="P59" s="34" t="str">
        <f>IF(Account!$F59&lt;&gt;"", DATEVALUE(MID($C59,4,3) &amp; LEFT($C59,3) &amp; RIGHT($C59,4)), "")</f>
        <v/>
      </c>
      <c r="Q59" s="35" t="str">
        <f t="array" ref="Q59">IF($R59&lt;&gt;"",IFERROR(INDEX(ISIN!$B:$B,MATCH($R59,ISIN!$C:$C,0))),)</f>
        <v/>
      </c>
      <c r="R59" s="36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5" t="str">
        <f t="shared" si="1"/>
        <v/>
      </c>
      <c r="T59" s="37" t="str">
        <f t="shared" si="2"/>
        <v/>
      </c>
      <c r="U59" s="38" t="str">
        <f t="shared" si="3"/>
        <v/>
      </c>
      <c r="V59" s="32" t="str">
        <f t="shared" si="4"/>
        <v/>
      </c>
      <c r="W59" s="39" t="str">
        <f>IFERROR(__xludf.DUMMYFUNCTION(" IF(Account!$F59&lt;&gt;"""", SPLIT(Account!$F59, "" ""), """")"),"")</f>
        <v/>
      </c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</row>
    <row r="60">
      <c r="A60" s="12"/>
      <c r="B60" s="12"/>
      <c r="C60" s="12"/>
      <c r="D60" s="12"/>
      <c r="E60" s="12"/>
      <c r="F60" s="13"/>
      <c r="G60" s="12"/>
      <c r="H60" s="12"/>
      <c r="I60" s="12"/>
      <c r="J60" s="12"/>
      <c r="K60" s="12"/>
      <c r="L60" s="13"/>
      <c r="M60" s="30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2" t="str">
        <f>IFERROR(__xludf.DUMMYFUNCTION("IF(Account!$F60&lt;&gt;"""", VALUE(REGEXREPLACE($I60, ""\,"", ""."")), """")"),"")</f>
        <v/>
      </c>
      <c r="O60" s="33" t="str">
        <f>IF(Account!$F60&lt;&gt;"", DATEVALUE(MID($A60,4,3) &amp; LEFT($A60,3) &amp; RIGHT($A60,4)) + TIMEVALUE($B60), "")</f>
        <v/>
      </c>
      <c r="P60" s="34" t="str">
        <f>IF(Account!$F60&lt;&gt;"", DATEVALUE(MID($C60,4,3) &amp; LEFT($C60,3) &amp; RIGHT($C60,4)), "")</f>
        <v/>
      </c>
      <c r="Q60" s="35" t="str">
        <f t="array" ref="Q60">IF($R60&lt;&gt;"",IFERROR(INDEX(ISIN!$B:$B,MATCH($R60,ISIN!$C:$C,0))),)</f>
        <v/>
      </c>
      <c r="R60" s="36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5" t="str">
        <f t="shared" si="1"/>
        <v/>
      </c>
      <c r="T60" s="37" t="str">
        <f t="shared" si="2"/>
        <v/>
      </c>
      <c r="U60" s="38" t="str">
        <f t="shared" si="3"/>
        <v/>
      </c>
      <c r="V60" s="32" t="str">
        <f t="shared" si="4"/>
        <v/>
      </c>
      <c r="W60" s="39" t="str">
        <f>IFERROR(__xludf.DUMMYFUNCTION(" IF(Account!$F60&lt;&gt;"""", SPLIT(Account!$F60, "" ""), """")"),"")</f>
        <v/>
      </c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</row>
    <row r="61">
      <c r="A61" s="12"/>
      <c r="B61" s="12"/>
      <c r="C61" s="12"/>
      <c r="D61" s="12"/>
      <c r="E61" s="12"/>
      <c r="F61" s="13"/>
      <c r="G61" s="12"/>
      <c r="H61" s="12"/>
      <c r="I61" s="12"/>
      <c r="J61" s="12"/>
      <c r="K61" s="12"/>
      <c r="L61" s="13"/>
      <c r="M61" s="30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2" t="str">
        <f>IFERROR(__xludf.DUMMYFUNCTION("IF(Account!$F61&lt;&gt;"""", VALUE(REGEXREPLACE($I61, ""\,"", ""."")), """")"),"")</f>
        <v/>
      </c>
      <c r="O61" s="33" t="str">
        <f>IF(Account!$F61&lt;&gt;"", DATEVALUE(MID($A61,4,3) &amp; LEFT($A61,3) &amp; RIGHT($A61,4)) + TIMEVALUE($B61), "")</f>
        <v/>
      </c>
      <c r="P61" s="34" t="str">
        <f>IF(Account!$F61&lt;&gt;"", DATEVALUE(MID($C61,4,3) &amp; LEFT($C61,3) &amp; RIGHT($C61,4)), "")</f>
        <v/>
      </c>
      <c r="Q61" s="35" t="str">
        <f t="array" ref="Q61">IF($R61&lt;&gt;"",IFERROR(INDEX(ISIN!$B:$B,MATCH($R61,ISIN!$C:$C,0))),)</f>
        <v/>
      </c>
      <c r="R61" s="36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5" t="str">
        <f t="shared" si="1"/>
        <v/>
      </c>
      <c r="T61" s="37" t="str">
        <f t="shared" si="2"/>
        <v/>
      </c>
      <c r="U61" s="38" t="str">
        <f t="shared" si="3"/>
        <v/>
      </c>
      <c r="V61" s="32" t="str">
        <f t="shared" si="4"/>
        <v/>
      </c>
      <c r="W61" s="39" t="str">
        <f>IFERROR(__xludf.DUMMYFUNCTION(" IF(Account!$F61&lt;&gt;"""", SPLIT(Account!$F61, "" ""), """")"),"")</f>
        <v/>
      </c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</row>
    <row r="62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12"/>
      <c r="L62" s="13"/>
      <c r="M62" s="30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2" t="str">
        <f>IFERROR(__xludf.DUMMYFUNCTION("IF(Account!$F62&lt;&gt;"""", VALUE(REGEXREPLACE($I62, ""\,"", ""."")), """")"),"")</f>
        <v/>
      </c>
      <c r="O62" s="33" t="str">
        <f>IF(Account!$F62&lt;&gt;"", DATEVALUE(MID($A62,4,3) &amp; LEFT($A62,3) &amp; RIGHT($A62,4)) + TIMEVALUE($B62), "")</f>
        <v/>
      </c>
      <c r="P62" s="34" t="str">
        <f>IF(Account!$F62&lt;&gt;"", DATEVALUE(MID($C62,4,3) &amp; LEFT($C62,3) &amp; RIGHT($C62,4)), "")</f>
        <v/>
      </c>
      <c r="Q62" s="35" t="str">
        <f t="array" ref="Q62">IF($R62&lt;&gt;"",IFERROR(INDEX(ISIN!$B:$B,MATCH($R62,ISIN!$C:$C,0))),)</f>
        <v/>
      </c>
      <c r="R62" s="36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5" t="str">
        <f t="shared" si="1"/>
        <v/>
      </c>
      <c r="T62" s="37" t="str">
        <f t="shared" si="2"/>
        <v/>
      </c>
      <c r="U62" s="38" t="str">
        <f t="shared" si="3"/>
        <v/>
      </c>
      <c r="V62" s="32" t="str">
        <f t="shared" si="4"/>
        <v/>
      </c>
      <c r="W62" s="39" t="str">
        <f>IFERROR(__xludf.DUMMYFUNCTION(" IF(Account!$F62&lt;&gt;"""", SPLIT(Account!$F62, "" ""), """")"),"")</f>
        <v/>
      </c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</row>
    <row r="63">
      <c r="A63" s="12"/>
      <c r="B63" s="12"/>
      <c r="C63" s="12"/>
      <c r="D63" s="12"/>
      <c r="E63" s="12"/>
      <c r="F63" s="13"/>
      <c r="G63" s="12"/>
      <c r="H63" s="12"/>
      <c r="I63" s="12"/>
      <c r="J63" s="12"/>
      <c r="K63" s="12"/>
      <c r="L63" s="13"/>
      <c r="M63" s="30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2" t="str">
        <f>IFERROR(__xludf.DUMMYFUNCTION("IF(Account!$F63&lt;&gt;"""", VALUE(REGEXREPLACE($I63, ""\,"", ""."")), """")"),"")</f>
        <v/>
      </c>
      <c r="O63" s="33" t="str">
        <f>IF(Account!$F63&lt;&gt;"", DATEVALUE(MID($A63,4,3) &amp; LEFT($A63,3) &amp; RIGHT($A63,4)) + TIMEVALUE($B63), "")</f>
        <v/>
      </c>
      <c r="P63" s="34" t="str">
        <f>IF(Account!$F63&lt;&gt;"", DATEVALUE(MID($C63,4,3) &amp; LEFT($C63,3) &amp; RIGHT($C63,4)), "")</f>
        <v/>
      </c>
      <c r="Q63" s="35" t="str">
        <f t="array" ref="Q63">IF($R63&lt;&gt;"",IFERROR(INDEX(ISIN!$B:$B,MATCH($R63,ISIN!$C:$C,0))),)</f>
        <v/>
      </c>
      <c r="R63" s="36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5" t="str">
        <f t="shared" si="1"/>
        <v/>
      </c>
      <c r="T63" s="37" t="str">
        <f t="shared" si="2"/>
        <v/>
      </c>
      <c r="U63" s="38" t="str">
        <f t="shared" si="3"/>
        <v/>
      </c>
      <c r="V63" s="32" t="str">
        <f t="shared" si="4"/>
        <v/>
      </c>
      <c r="W63" s="39" t="str">
        <f>IFERROR(__xludf.DUMMYFUNCTION(" IF(Account!$F63&lt;&gt;"""", SPLIT(Account!$F63, "" ""), """")"),"")</f>
        <v/>
      </c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</row>
    <row r="64">
      <c r="A64" s="12"/>
      <c r="B64" s="12"/>
      <c r="C64" s="12"/>
      <c r="D64" s="12"/>
      <c r="E64" s="12"/>
      <c r="F64" s="13"/>
      <c r="G64" s="12"/>
      <c r="H64" s="12"/>
      <c r="I64" s="12"/>
      <c r="J64" s="12"/>
      <c r="K64" s="12"/>
      <c r="L64" s="13"/>
      <c r="M64" s="30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2" t="str">
        <f>IFERROR(__xludf.DUMMYFUNCTION("IF(Account!$F64&lt;&gt;"""", VALUE(REGEXREPLACE($I64, ""\,"", ""."")), """")"),"")</f>
        <v/>
      </c>
      <c r="O64" s="33" t="str">
        <f>IF(Account!$F64&lt;&gt;"", DATEVALUE(MID($A64,4,3) &amp; LEFT($A64,3) &amp; RIGHT($A64,4)) + TIMEVALUE($B64), "")</f>
        <v/>
      </c>
      <c r="P64" s="34" t="str">
        <f>IF(Account!$F64&lt;&gt;"", DATEVALUE(MID($C64,4,3) &amp; LEFT($C64,3) &amp; RIGHT($C64,4)), "")</f>
        <v/>
      </c>
      <c r="Q64" s="35" t="str">
        <f t="array" ref="Q64">IF($R64&lt;&gt;"",IFERROR(INDEX(ISIN!$B:$B,MATCH($R64,ISIN!$C:$C,0))),)</f>
        <v/>
      </c>
      <c r="R64" s="36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5" t="str">
        <f t="shared" si="1"/>
        <v/>
      </c>
      <c r="T64" s="37" t="str">
        <f t="shared" si="2"/>
        <v/>
      </c>
      <c r="U64" s="38" t="str">
        <f t="shared" si="3"/>
        <v/>
      </c>
      <c r="V64" s="32" t="str">
        <f t="shared" si="4"/>
        <v/>
      </c>
      <c r="W64" s="39" t="str">
        <f>IFERROR(__xludf.DUMMYFUNCTION(" IF(Account!$F64&lt;&gt;"""", SPLIT(Account!$F64, "" ""), """")"),"")</f>
        <v/>
      </c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</row>
    <row r="65">
      <c r="A65" s="12"/>
      <c r="B65" s="12"/>
      <c r="C65" s="12"/>
      <c r="D65" s="12"/>
      <c r="E65" s="12"/>
      <c r="F65" s="13"/>
      <c r="G65" s="12"/>
      <c r="H65" s="12"/>
      <c r="I65" s="12"/>
      <c r="J65" s="12"/>
      <c r="K65" s="12"/>
      <c r="L65" s="13"/>
      <c r="M65" s="30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2" t="str">
        <f>IFERROR(__xludf.DUMMYFUNCTION("IF(Account!$F65&lt;&gt;"""", VALUE(REGEXREPLACE($I65, ""\,"", ""."")), """")"),"")</f>
        <v/>
      </c>
      <c r="O65" s="33" t="str">
        <f>IF(Account!$F65&lt;&gt;"", DATEVALUE(MID($A65,4,3) &amp; LEFT($A65,3) &amp; RIGHT($A65,4)) + TIMEVALUE($B65), "")</f>
        <v/>
      </c>
      <c r="P65" s="34" t="str">
        <f>IF(Account!$F65&lt;&gt;"", DATEVALUE(MID($C65,4,3) &amp; LEFT($C65,3) &amp; RIGHT($C65,4)), "")</f>
        <v/>
      </c>
      <c r="Q65" s="35" t="str">
        <f t="array" ref="Q65">IF($R65&lt;&gt;"",IFERROR(INDEX(ISIN!$B:$B,MATCH($R65,ISIN!$C:$C,0))),)</f>
        <v/>
      </c>
      <c r="R65" s="36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5" t="str">
        <f t="shared" si="1"/>
        <v/>
      </c>
      <c r="T65" s="37" t="str">
        <f t="shared" si="2"/>
        <v/>
      </c>
      <c r="U65" s="38" t="str">
        <f t="shared" si="3"/>
        <v/>
      </c>
      <c r="V65" s="32" t="str">
        <f t="shared" si="4"/>
        <v/>
      </c>
      <c r="W65" s="39" t="str">
        <f>IFERROR(__xludf.DUMMYFUNCTION(" IF(Account!$F65&lt;&gt;"""", SPLIT(Account!$F65, "" ""), """")"),"")</f>
        <v/>
      </c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</row>
    <row r="66">
      <c r="A66" s="12"/>
      <c r="B66" s="12"/>
      <c r="C66" s="12"/>
      <c r="D66" s="12"/>
      <c r="E66" s="12"/>
      <c r="F66" s="13"/>
      <c r="G66" s="12"/>
      <c r="H66" s="12"/>
      <c r="I66" s="12"/>
      <c r="J66" s="12"/>
      <c r="K66" s="12"/>
      <c r="L66" s="13"/>
      <c r="M66" s="30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2" t="str">
        <f>IFERROR(__xludf.DUMMYFUNCTION("IF(Account!$F66&lt;&gt;"""", VALUE(REGEXREPLACE($I66, ""\,"", ""."")), """")"),"")</f>
        <v/>
      </c>
      <c r="O66" s="33" t="str">
        <f>IF(Account!$F66&lt;&gt;"", DATEVALUE(MID($A66,4,3) &amp; LEFT($A66,3) &amp; RIGHT($A66,4)) + TIMEVALUE($B66), "")</f>
        <v/>
      </c>
      <c r="P66" s="34" t="str">
        <f>IF(Account!$F66&lt;&gt;"", DATEVALUE(MID($C66,4,3) &amp; LEFT($C66,3) &amp; RIGHT($C66,4)), "")</f>
        <v/>
      </c>
      <c r="Q66" s="35" t="str">
        <f t="array" ref="Q66">IF($R66&lt;&gt;"",IFERROR(INDEX(ISIN!$B:$B,MATCH($R66,ISIN!$C:$C,0))),)</f>
        <v/>
      </c>
      <c r="R66" s="36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5" t="str">
        <f t="shared" si="1"/>
        <v/>
      </c>
      <c r="T66" s="37" t="str">
        <f t="shared" si="2"/>
        <v/>
      </c>
      <c r="U66" s="38" t="str">
        <f t="shared" si="3"/>
        <v/>
      </c>
      <c r="V66" s="32" t="str">
        <f t="shared" si="4"/>
        <v/>
      </c>
      <c r="W66" s="39" t="str">
        <f>IFERROR(__xludf.DUMMYFUNCTION(" IF(Account!$F66&lt;&gt;"""", SPLIT(Account!$F66, "" ""), """")"),"")</f>
        <v/>
      </c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</row>
    <row r="67">
      <c r="A67" s="12"/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3"/>
      <c r="M67" s="30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2" t="str">
        <f>IFERROR(__xludf.DUMMYFUNCTION("IF(Account!$F67&lt;&gt;"""", VALUE(REGEXREPLACE($I67, ""\,"", ""."")), """")"),"")</f>
        <v/>
      </c>
      <c r="O67" s="33" t="str">
        <f>IF(Account!$F67&lt;&gt;"", DATEVALUE(MID($A67,4,3) &amp; LEFT($A67,3) &amp; RIGHT($A67,4)) + TIMEVALUE($B67), "")</f>
        <v/>
      </c>
      <c r="P67" s="34" t="str">
        <f>IF(Account!$F67&lt;&gt;"", DATEVALUE(MID($C67,4,3) &amp; LEFT($C67,3) &amp; RIGHT($C67,4)), "")</f>
        <v/>
      </c>
      <c r="Q67" s="35" t="str">
        <f t="array" ref="Q67">IF($R67&lt;&gt;"",IFERROR(INDEX(ISIN!$B:$B,MATCH($R67,ISIN!$C:$C,0))),)</f>
        <v/>
      </c>
      <c r="R67" s="36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5" t="str">
        <f t="shared" si="1"/>
        <v/>
      </c>
      <c r="T67" s="37" t="str">
        <f t="shared" si="2"/>
        <v/>
      </c>
      <c r="U67" s="38" t="str">
        <f t="shared" si="3"/>
        <v/>
      </c>
      <c r="V67" s="32" t="str">
        <f t="shared" si="4"/>
        <v/>
      </c>
      <c r="W67" s="39" t="str">
        <f>IFERROR(__xludf.DUMMYFUNCTION(" IF(Account!$F67&lt;&gt;"""", SPLIT(Account!$F67, "" ""), """")"),"")</f>
        <v/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</row>
    <row r="68">
      <c r="A68" s="12"/>
      <c r="B68" s="12"/>
      <c r="C68" s="12"/>
      <c r="D68" s="12"/>
      <c r="E68" s="12"/>
      <c r="F68" s="13"/>
      <c r="G68" s="12"/>
      <c r="H68" s="12"/>
      <c r="I68" s="12"/>
      <c r="J68" s="12"/>
      <c r="K68" s="12"/>
      <c r="L68" s="13"/>
      <c r="M68" s="30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2" t="str">
        <f>IFERROR(__xludf.DUMMYFUNCTION("IF(Account!$F68&lt;&gt;"""", VALUE(REGEXREPLACE($I68, ""\,"", ""."")), """")"),"")</f>
        <v/>
      </c>
      <c r="O68" s="33" t="str">
        <f>IF(Account!$F68&lt;&gt;"", DATEVALUE(MID($A68,4,3) &amp; LEFT($A68,3) &amp; RIGHT($A68,4)) + TIMEVALUE($B68), "")</f>
        <v/>
      </c>
      <c r="P68" s="34" t="str">
        <f>IF(Account!$F68&lt;&gt;"", DATEVALUE(MID($C68,4,3) &amp; LEFT($C68,3) &amp; RIGHT($C68,4)), "")</f>
        <v/>
      </c>
      <c r="Q68" s="35" t="str">
        <f t="array" ref="Q68">IF($R68&lt;&gt;"",IFERROR(INDEX(ISIN!$B:$B,MATCH($R68,ISIN!$C:$C,0))),)</f>
        <v/>
      </c>
      <c r="R68" s="36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5" t="str">
        <f t="shared" si="1"/>
        <v/>
      </c>
      <c r="T68" s="37" t="str">
        <f t="shared" si="2"/>
        <v/>
      </c>
      <c r="U68" s="38" t="str">
        <f t="shared" si="3"/>
        <v/>
      </c>
      <c r="V68" s="32" t="str">
        <f t="shared" si="4"/>
        <v/>
      </c>
      <c r="W68" s="39" t="str">
        <f>IFERROR(__xludf.DUMMYFUNCTION(" IF(Account!$F68&lt;&gt;"""", SPLIT(Account!$F68, "" ""), """")"),"")</f>
        <v/>
      </c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</row>
    <row r="69">
      <c r="A69" s="12"/>
      <c r="B69" s="12"/>
      <c r="C69" s="12"/>
      <c r="D69" s="12"/>
      <c r="E69" s="12"/>
      <c r="F69" s="13"/>
      <c r="G69" s="12"/>
      <c r="H69" s="12"/>
      <c r="I69" s="12"/>
      <c r="J69" s="12"/>
      <c r="K69" s="12"/>
      <c r="L69" s="13"/>
      <c r="M69" s="30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2" t="str">
        <f>IFERROR(__xludf.DUMMYFUNCTION("IF(Account!$F69&lt;&gt;"""", VALUE(REGEXREPLACE($I69, ""\,"", ""."")), """")"),"")</f>
        <v/>
      </c>
      <c r="O69" s="33" t="str">
        <f>IF(Account!$F69&lt;&gt;"", DATEVALUE(MID($A69,4,3) &amp; LEFT($A69,3) &amp; RIGHT($A69,4)) + TIMEVALUE($B69), "")</f>
        <v/>
      </c>
      <c r="P69" s="34" t="str">
        <f>IF(Account!$F69&lt;&gt;"", DATEVALUE(MID($C69,4,3) &amp; LEFT($C69,3) &amp; RIGHT($C69,4)), "")</f>
        <v/>
      </c>
      <c r="Q69" s="35" t="str">
        <f t="array" ref="Q69">IF($R69&lt;&gt;"",IFERROR(INDEX(ISIN!$B:$B,MATCH($R69,ISIN!$C:$C,0))),)</f>
        <v/>
      </c>
      <c r="R69" s="36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5" t="str">
        <f t="shared" si="1"/>
        <v/>
      </c>
      <c r="T69" s="37" t="str">
        <f t="shared" si="2"/>
        <v/>
      </c>
      <c r="U69" s="38" t="str">
        <f t="shared" si="3"/>
        <v/>
      </c>
      <c r="V69" s="32" t="str">
        <f t="shared" si="4"/>
        <v/>
      </c>
      <c r="W69" s="39" t="str">
        <f>IFERROR(__xludf.DUMMYFUNCTION(" IF(Account!$F69&lt;&gt;"""", SPLIT(Account!$F69, "" ""), """")"),"")</f>
        <v/>
      </c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</row>
    <row r="70">
      <c r="A70" s="12"/>
      <c r="B70" s="12"/>
      <c r="C70" s="12"/>
      <c r="D70" s="12"/>
      <c r="E70" s="12"/>
      <c r="F70" s="13"/>
      <c r="G70" s="12"/>
      <c r="H70" s="12"/>
      <c r="I70" s="12"/>
      <c r="J70" s="12"/>
      <c r="K70" s="12"/>
      <c r="L70" s="13"/>
      <c r="M70" s="30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2" t="str">
        <f>IFERROR(__xludf.DUMMYFUNCTION("IF(Account!$F70&lt;&gt;"""", VALUE(REGEXREPLACE($I70, ""\,"", ""."")), """")"),"")</f>
        <v/>
      </c>
      <c r="O70" s="33" t="str">
        <f>IF(Account!$F70&lt;&gt;"", DATEVALUE(MID($A70,4,3) &amp; LEFT($A70,3) &amp; RIGHT($A70,4)) + TIMEVALUE($B70), "")</f>
        <v/>
      </c>
      <c r="P70" s="34" t="str">
        <f>IF(Account!$F70&lt;&gt;"", DATEVALUE(MID($C70,4,3) &amp; LEFT($C70,3) &amp; RIGHT($C70,4)), "")</f>
        <v/>
      </c>
      <c r="Q70" s="35" t="str">
        <f t="array" ref="Q70">IF($R70&lt;&gt;"",IFERROR(INDEX(ISIN!$B:$B,MATCH($R70,ISIN!$C:$C,0))),)</f>
        <v/>
      </c>
      <c r="R70" s="36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5" t="str">
        <f t="shared" si="1"/>
        <v/>
      </c>
      <c r="T70" s="37" t="str">
        <f t="shared" si="2"/>
        <v/>
      </c>
      <c r="U70" s="38" t="str">
        <f t="shared" si="3"/>
        <v/>
      </c>
      <c r="V70" s="32" t="str">
        <f t="shared" si="4"/>
        <v/>
      </c>
      <c r="W70" s="39" t="str">
        <f>IFERROR(__xludf.DUMMYFUNCTION(" IF(Account!$F70&lt;&gt;"""", SPLIT(Account!$F70, "" ""), """")"),"")</f>
        <v/>
      </c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</row>
    <row r="71">
      <c r="A71" s="12"/>
      <c r="B71" s="12"/>
      <c r="C71" s="12"/>
      <c r="D71" s="12"/>
      <c r="E71" s="12"/>
      <c r="F71" s="13"/>
      <c r="G71" s="12"/>
      <c r="H71" s="12"/>
      <c r="I71" s="12"/>
      <c r="J71" s="12"/>
      <c r="K71" s="12"/>
      <c r="L71" s="13"/>
      <c r="M71" s="30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2" t="str">
        <f>IFERROR(__xludf.DUMMYFUNCTION("IF(Account!$F71&lt;&gt;"""", VALUE(REGEXREPLACE($I71, ""\,"", ""."")), """")"),"")</f>
        <v/>
      </c>
      <c r="O71" s="33" t="str">
        <f>IF(Account!$F71&lt;&gt;"", DATEVALUE(MID($A71,4,3) &amp; LEFT($A71,3) &amp; RIGHT($A71,4)) + TIMEVALUE($B71), "")</f>
        <v/>
      </c>
      <c r="P71" s="34" t="str">
        <f>IF(Account!$F71&lt;&gt;"", DATEVALUE(MID($C71,4,3) &amp; LEFT($C71,3) &amp; RIGHT($C71,4)), "")</f>
        <v/>
      </c>
      <c r="Q71" s="35" t="str">
        <f t="array" ref="Q71">IF($R71&lt;&gt;"",IFERROR(INDEX(ISIN!$B:$B,MATCH($R71,ISIN!$C:$C,0))),)</f>
        <v/>
      </c>
      <c r="R71" s="36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5" t="str">
        <f t="shared" si="1"/>
        <v/>
      </c>
      <c r="T71" s="37" t="str">
        <f t="shared" si="2"/>
        <v/>
      </c>
      <c r="U71" s="38" t="str">
        <f t="shared" si="3"/>
        <v/>
      </c>
      <c r="V71" s="32" t="str">
        <f t="shared" si="4"/>
        <v/>
      </c>
      <c r="W71" s="39" t="str">
        <f>IFERROR(__xludf.DUMMYFUNCTION(" IF(Account!$F71&lt;&gt;"""", SPLIT(Account!$F71, "" ""), """")"),"")</f>
        <v/>
      </c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</row>
    <row r="72">
      <c r="A72" s="12"/>
      <c r="B72" s="12"/>
      <c r="C72" s="12"/>
      <c r="D72" s="12"/>
      <c r="E72" s="12"/>
      <c r="F72" s="13"/>
      <c r="G72" s="12"/>
      <c r="H72" s="12"/>
      <c r="I72" s="12"/>
      <c r="J72" s="12"/>
      <c r="K72" s="12"/>
      <c r="L72" s="13"/>
      <c r="M72" s="30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2" t="str">
        <f>IFERROR(__xludf.DUMMYFUNCTION("IF(Account!$F72&lt;&gt;"""", VALUE(REGEXREPLACE($I72, ""\,"", ""."")), """")"),"")</f>
        <v/>
      </c>
      <c r="O72" s="33" t="str">
        <f>IF(Account!$F72&lt;&gt;"", DATEVALUE(MID($A72,4,3) &amp; LEFT($A72,3) &amp; RIGHT($A72,4)) + TIMEVALUE($B72), "")</f>
        <v/>
      </c>
      <c r="P72" s="34" t="str">
        <f>IF(Account!$F72&lt;&gt;"", DATEVALUE(MID($C72,4,3) &amp; LEFT($C72,3) &amp; RIGHT($C72,4)), "")</f>
        <v/>
      </c>
      <c r="Q72" s="35" t="str">
        <f t="array" ref="Q72">IF($R72&lt;&gt;"",IFERROR(INDEX(ISIN!$B:$B,MATCH($R72,ISIN!$C:$C,0))),)</f>
        <v/>
      </c>
      <c r="R72" s="36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5" t="str">
        <f t="shared" si="1"/>
        <v/>
      </c>
      <c r="T72" s="37" t="str">
        <f t="shared" si="2"/>
        <v/>
      </c>
      <c r="U72" s="38" t="str">
        <f t="shared" si="3"/>
        <v/>
      </c>
      <c r="V72" s="32" t="str">
        <f t="shared" si="4"/>
        <v/>
      </c>
      <c r="W72" s="39" t="str">
        <f>IFERROR(__xludf.DUMMYFUNCTION(" IF(Account!$F72&lt;&gt;"""", SPLIT(Account!$F72, "" ""), """")"),"")</f>
        <v/>
      </c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</row>
    <row r="73">
      <c r="A73" s="12"/>
      <c r="B73" s="12"/>
      <c r="C73" s="12"/>
      <c r="D73" s="12"/>
      <c r="E73" s="12"/>
      <c r="F73" s="13"/>
      <c r="G73" s="12"/>
      <c r="H73" s="12"/>
      <c r="I73" s="12"/>
      <c r="J73" s="12"/>
      <c r="K73" s="12"/>
      <c r="L73" s="13"/>
      <c r="M73" s="30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2" t="str">
        <f>IFERROR(__xludf.DUMMYFUNCTION("IF(Account!$F73&lt;&gt;"""", VALUE(REGEXREPLACE($I73, ""\,"", ""."")), """")"),"")</f>
        <v/>
      </c>
      <c r="O73" s="33" t="str">
        <f>IF(Account!$F73&lt;&gt;"", DATEVALUE(MID($A73,4,3) &amp; LEFT($A73,3) &amp; RIGHT($A73,4)) + TIMEVALUE($B73), "")</f>
        <v/>
      </c>
      <c r="P73" s="34" t="str">
        <f>IF(Account!$F73&lt;&gt;"", DATEVALUE(MID($C73,4,3) &amp; LEFT($C73,3) &amp; RIGHT($C73,4)), "")</f>
        <v/>
      </c>
      <c r="Q73" s="35" t="str">
        <f t="array" ref="Q73">IF($R73&lt;&gt;"",IFERROR(INDEX(ISIN!$B:$B,MATCH($R73,ISIN!$C:$C,0))),)</f>
        <v/>
      </c>
      <c r="R73" s="36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5" t="str">
        <f t="shared" si="1"/>
        <v/>
      </c>
      <c r="T73" s="37" t="str">
        <f t="shared" si="2"/>
        <v/>
      </c>
      <c r="U73" s="38" t="str">
        <f t="shared" si="3"/>
        <v/>
      </c>
      <c r="V73" s="32" t="str">
        <f t="shared" si="4"/>
        <v/>
      </c>
      <c r="W73" s="39" t="str">
        <f>IFERROR(__xludf.DUMMYFUNCTION(" IF(Account!$F73&lt;&gt;"""", SPLIT(Account!$F73, "" ""), """")"),"")</f>
        <v/>
      </c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</row>
    <row r="74">
      <c r="A74" s="12"/>
      <c r="B74" s="12"/>
      <c r="C74" s="12"/>
      <c r="D74" s="12"/>
      <c r="E74" s="12"/>
      <c r="F74" s="13"/>
      <c r="G74" s="12"/>
      <c r="H74" s="12"/>
      <c r="I74" s="12"/>
      <c r="J74" s="12"/>
      <c r="K74" s="12"/>
      <c r="L74" s="13"/>
      <c r="M74" s="30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2" t="str">
        <f>IFERROR(__xludf.DUMMYFUNCTION("IF(Account!$F74&lt;&gt;"""", VALUE(REGEXREPLACE($I74, ""\,"", ""."")), """")"),"")</f>
        <v/>
      </c>
      <c r="O74" s="33" t="str">
        <f>IF(Account!$F74&lt;&gt;"", DATEVALUE(MID($A74,4,3) &amp; LEFT($A74,3) &amp; RIGHT($A74,4)) + TIMEVALUE($B74), "")</f>
        <v/>
      </c>
      <c r="P74" s="34" t="str">
        <f>IF(Account!$F74&lt;&gt;"", DATEVALUE(MID($C74,4,3) &amp; LEFT($C74,3) &amp; RIGHT($C74,4)), "")</f>
        <v/>
      </c>
      <c r="Q74" s="35" t="str">
        <f t="array" ref="Q74">IF($R74&lt;&gt;"",IFERROR(INDEX(ISIN!$B:$B,MATCH($R74,ISIN!$C:$C,0))),)</f>
        <v/>
      </c>
      <c r="R74" s="36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5" t="str">
        <f t="shared" si="1"/>
        <v/>
      </c>
      <c r="T74" s="37" t="str">
        <f t="shared" si="2"/>
        <v/>
      </c>
      <c r="U74" s="38" t="str">
        <f t="shared" si="3"/>
        <v/>
      </c>
      <c r="V74" s="32" t="str">
        <f t="shared" si="4"/>
        <v/>
      </c>
      <c r="W74" s="39" t="str">
        <f>IFERROR(__xludf.DUMMYFUNCTION(" IF(Account!$F74&lt;&gt;"""", SPLIT(Account!$F74, "" ""), """")"),"")</f>
        <v/>
      </c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</row>
    <row r="75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12"/>
      <c r="L75" s="13"/>
      <c r="M75" s="30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2" t="str">
        <f>IFERROR(__xludf.DUMMYFUNCTION("IF(Account!$F75&lt;&gt;"""", VALUE(REGEXREPLACE($I75, ""\,"", ""."")), """")"),"")</f>
        <v/>
      </c>
      <c r="O75" s="33" t="str">
        <f>IF(Account!$F75&lt;&gt;"", DATEVALUE(MID($A75,4,3) &amp; LEFT($A75,3) &amp; RIGHT($A75,4)) + TIMEVALUE($B75), "")</f>
        <v/>
      </c>
      <c r="P75" s="34" t="str">
        <f>IF(Account!$F75&lt;&gt;"", DATEVALUE(MID($C75,4,3) &amp; LEFT($C75,3) &amp; RIGHT($C75,4)), "")</f>
        <v/>
      </c>
      <c r="Q75" s="35" t="str">
        <f t="array" ref="Q75">IF($R75&lt;&gt;"",IFERROR(INDEX(ISIN!$B:$B,MATCH($R75,ISIN!$C:$C,0))),)</f>
        <v/>
      </c>
      <c r="R75" s="36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5" t="str">
        <f t="shared" si="1"/>
        <v/>
      </c>
      <c r="T75" s="37" t="str">
        <f t="shared" si="2"/>
        <v/>
      </c>
      <c r="U75" s="38" t="str">
        <f t="shared" si="3"/>
        <v/>
      </c>
      <c r="V75" s="32" t="str">
        <f t="shared" si="4"/>
        <v/>
      </c>
      <c r="W75" s="39" t="str">
        <f>IFERROR(__xludf.DUMMYFUNCTION(" IF(Account!$F75&lt;&gt;"""", SPLIT(Account!$F75, "" ""), """")"),"")</f>
        <v/>
      </c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</row>
    <row r="76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12"/>
      <c r="L76" s="13"/>
      <c r="M76" s="30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2" t="str">
        <f>IFERROR(__xludf.DUMMYFUNCTION("IF(Account!$F76&lt;&gt;"""", VALUE(REGEXREPLACE($I76, ""\,"", ""."")), """")"),"")</f>
        <v/>
      </c>
      <c r="O76" s="33" t="str">
        <f>IF(Account!$F76&lt;&gt;"", DATEVALUE(MID($A76,4,3) &amp; LEFT($A76,3) &amp; RIGHT($A76,4)) + TIMEVALUE($B76), "")</f>
        <v/>
      </c>
      <c r="P76" s="34" t="str">
        <f>IF(Account!$F76&lt;&gt;"", DATEVALUE(MID($C76,4,3) &amp; LEFT($C76,3) &amp; RIGHT($C76,4)), "")</f>
        <v/>
      </c>
      <c r="Q76" s="35" t="str">
        <f t="array" ref="Q76">IF($R76&lt;&gt;"",IFERROR(INDEX(ISIN!$B:$B,MATCH($R76,ISIN!$C:$C,0))),)</f>
        <v/>
      </c>
      <c r="R76" s="36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5" t="str">
        <f t="shared" si="1"/>
        <v/>
      </c>
      <c r="T76" s="37" t="str">
        <f t="shared" si="2"/>
        <v/>
      </c>
      <c r="U76" s="38" t="str">
        <f t="shared" si="3"/>
        <v/>
      </c>
      <c r="V76" s="32" t="str">
        <f t="shared" si="4"/>
        <v/>
      </c>
      <c r="W76" s="39" t="str">
        <f>IFERROR(__xludf.DUMMYFUNCTION(" IF(Account!$F76&lt;&gt;"""", SPLIT(Account!$F76, "" ""), """")"),"")</f>
        <v/>
      </c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</row>
    <row r="77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12"/>
      <c r="L77" s="13"/>
      <c r="M77" s="30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2" t="str">
        <f>IFERROR(__xludf.DUMMYFUNCTION("IF(Account!$F77&lt;&gt;"""", VALUE(REGEXREPLACE($I77, ""\,"", ""."")), """")"),"")</f>
        <v/>
      </c>
      <c r="O77" s="33" t="str">
        <f>IF(Account!$F77&lt;&gt;"", DATEVALUE(MID($A77,4,3) &amp; LEFT($A77,3) &amp; RIGHT($A77,4)) + TIMEVALUE($B77), "")</f>
        <v/>
      </c>
      <c r="P77" s="34" t="str">
        <f>IF(Account!$F77&lt;&gt;"", DATEVALUE(MID($C77,4,3) &amp; LEFT($C77,3) &amp; RIGHT($C77,4)), "")</f>
        <v/>
      </c>
      <c r="Q77" s="35" t="str">
        <f t="array" ref="Q77">IF($R77&lt;&gt;"",IFERROR(INDEX(ISIN!$B:$B,MATCH($R77,ISIN!$C:$C,0))),)</f>
        <v/>
      </c>
      <c r="R77" s="36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5" t="str">
        <f t="shared" si="1"/>
        <v/>
      </c>
      <c r="T77" s="37" t="str">
        <f t="shared" si="2"/>
        <v/>
      </c>
      <c r="U77" s="38" t="str">
        <f t="shared" si="3"/>
        <v/>
      </c>
      <c r="V77" s="32" t="str">
        <f t="shared" si="4"/>
        <v/>
      </c>
      <c r="W77" s="39" t="str">
        <f>IFERROR(__xludf.DUMMYFUNCTION(" IF(Account!$F77&lt;&gt;"""", SPLIT(Account!$F77, "" ""), """")"),"")</f>
        <v/>
      </c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</row>
    <row r="78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12"/>
      <c r="L78" s="13"/>
      <c r="M78" s="30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2" t="str">
        <f>IFERROR(__xludf.DUMMYFUNCTION("IF(Account!$F78&lt;&gt;"""", VALUE(REGEXREPLACE($I78, ""\,"", ""."")), """")"),"")</f>
        <v/>
      </c>
      <c r="O78" s="33" t="str">
        <f>IF(Account!$F78&lt;&gt;"", DATEVALUE(MID($A78,4,3) &amp; LEFT($A78,3) &amp; RIGHT($A78,4)) + TIMEVALUE($B78), "")</f>
        <v/>
      </c>
      <c r="P78" s="34" t="str">
        <f>IF(Account!$F78&lt;&gt;"", DATEVALUE(MID($C78,4,3) &amp; LEFT($C78,3) &amp; RIGHT($C78,4)), "")</f>
        <v/>
      </c>
      <c r="Q78" s="35" t="str">
        <f t="array" ref="Q78">IF($R78&lt;&gt;"",IFERROR(INDEX(ISIN!$B:$B,MATCH($R78,ISIN!$C:$C,0))),)</f>
        <v/>
      </c>
      <c r="R78" s="36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5" t="str">
        <f t="shared" si="1"/>
        <v/>
      </c>
      <c r="T78" s="37" t="str">
        <f t="shared" si="2"/>
        <v/>
      </c>
      <c r="U78" s="38" t="str">
        <f t="shared" si="3"/>
        <v/>
      </c>
      <c r="V78" s="32" t="str">
        <f t="shared" si="4"/>
        <v/>
      </c>
      <c r="W78" s="39" t="str">
        <f>IFERROR(__xludf.DUMMYFUNCTION(" IF(Account!$F78&lt;&gt;"""", SPLIT(Account!$F78, "" ""), """")"),"")</f>
        <v/>
      </c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</row>
    <row r="79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12"/>
      <c r="L79" s="13"/>
      <c r="M79" s="30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2" t="str">
        <f>IFERROR(__xludf.DUMMYFUNCTION("IF(Account!$F79&lt;&gt;"""", VALUE(REGEXREPLACE($I79, ""\,"", ""."")), """")"),"")</f>
        <v/>
      </c>
      <c r="O79" s="33" t="str">
        <f>IF(Account!$F79&lt;&gt;"", DATEVALUE(MID($A79,4,3) &amp; LEFT($A79,3) &amp; RIGHT($A79,4)) + TIMEVALUE($B79), "")</f>
        <v/>
      </c>
      <c r="P79" s="34" t="str">
        <f>IF(Account!$F79&lt;&gt;"", DATEVALUE(MID($C79,4,3) &amp; LEFT($C79,3) &amp; RIGHT($C79,4)), "")</f>
        <v/>
      </c>
      <c r="Q79" s="35" t="str">
        <f t="array" ref="Q79">IF($R79&lt;&gt;"",IFERROR(INDEX(ISIN!$B:$B,MATCH($R79,ISIN!$C:$C,0))),)</f>
        <v/>
      </c>
      <c r="R79" s="36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5" t="str">
        <f t="shared" si="1"/>
        <v/>
      </c>
      <c r="T79" s="37" t="str">
        <f t="shared" si="2"/>
        <v/>
      </c>
      <c r="U79" s="38" t="str">
        <f t="shared" si="3"/>
        <v/>
      </c>
      <c r="V79" s="32" t="str">
        <f t="shared" si="4"/>
        <v/>
      </c>
      <c r="W79" s="39" t="str">
        <f>IFERROR(__xludf.DUMMYFUNCTION(" IF(Account!$F79&lt;&gt;"""", SPLIT(Account!$F79, "" ""), """")"),"")</f>
        <v/>
      </c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</row>
    <row r="80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12"/>
      <c r="L80" s="13"/>
      <c r="M80" s="30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2" t="str">
        <f>IFERROR(__xludf.DUMMYFUNCTION("IF(Account!$F80&lt;&gt;"""", VALUE(REGEXREPLACE($I80, ""\,"", ""."")), """")"),"")</f>
        <v/>
      </c>
      <c r="O80" s="33" t="str">
        <f>IF(Account!$F80&lt;&gt;"", DATEVALUE(MID($A80,4,3) &amp; LEFT($A80,3) &amp; RIGHT($A80,4)) + TIMEVALUE($B80), "")</f>
        <v/>
      </c>
      <c r="P80" s="34" t="str">
        <f>IF(Account!$F80&lt;&gt;"", DATEVALUE(MID($C80,4,3) &amp; LEFT($C80,3) &amp; RIGHT($C80,4)), "")</f>
        <v/>
      </c>
      <c r="Q80" s="35" t="str">
        <f t="array" ref="Q80">IF($R80&lt;&gt;"",IFERROR(INDEX(ISIN!$B:$B,MATCH($R80,ISIN!$C:$C,0))),)</f>
        <v/>
      </c>
      <c r="R80" s="36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5" t="str">
        <f t="shared" si="1"/>
        <v/>
      </c>
      <c r="T80" s="37" t="str">
        <f t="shared" si="2"/>
        <v/>
      </c>
      <c r="U80" s="38" t="str">
        <f t="shared" si="3"/>
        <v/>
      </c>
      <c r="V80" s="32" t="str">
        <f t="shared" si="4"/>
        <v/>
      </c>
      <c r="W80" s="39" t="str">
        <f>IFERROR(__xludf.DUMMYFUNCTION(" IF(Account!$F80&lt;&gt;"""", SPLIT(Account!$F80, "" ""), """")"),"")</f>
        <v/>
      </c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</row>
    <row r="81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12"/>
      <c r="L81" s="13"/>
      <c r="M81" s="30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2" t="str">
        <f>IFERROR(__xludf.DUMMYFUNCTION("IF(Account!$F81&lt;&gt;"""", VALUE(REGEXREPLACE($I81, ""\,"", ""."")), """")"),"")</f>
        <v/>
      </c>
      <c r="O81" s="33" t="str">
        <f>IF(Account!$F81&lt;&gt;"", DATEVALUE(MID($A81,4,3) &amp; LEFT($A81,3) &amp; RIGHT($A81,4)) + TIMEVALUE($B81), "")</f>
        <v/>
      </c>
      <c r="P81" s="34" t="str">
        <f>IF(Account!$F81&lt;&gt;"", DATEVALUE(MID($C81,4,3) &amp; LEFT($C81,3) &amp; RIGHT($C81,4)), "")</f>
        <v/>
      </c>
      <c r="Q81" s="35" t="str">
        <f t="array" ref="Q81">IF($R81&lt;&gt;"",IFERROR(INDEX(ISIN!$B:$B,MATCH($R81,ISIN!$C:$C,0))),)</f>
        <v/>
      </c>
      <c r="R81" s="36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5" t="str">
        <f t="shared" si="1"/>
        <v/>
      </c>
      <c r="T81" s="37" t="str">
        <f t="shared" si="2"/>
        <v/>
      </c>
      <c r="U81" s="38" t="str">
        <f t="shared" si="3"/>
        <v/>
      </c>
      <c r="V81" s="32" t="str">
        <f t="shared" si="4"/>
        <v/>
      </c>
      <c r="W81" s="39" t="str">
        <f>IFERROR(__xludf.DUMMYFUNCTION(" IF(Account!$F81&lt;&gt;"""", SPLIT(Account!$F81, "" ""), """")"),"")</f>
        <v/>
      </c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</row>
    <row r="82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12"/>
      <c r="L82" s="13"/>
      <c r="M82" s="30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2" t="str">
        <f>IFERROR(__xludf.DUMMYFUNCTION("IF(Account!$F82&lt;&gt;"""", VALUE(REGEXREPLACE($I82, ""\,"", ""."")), """")"),"")</f>
        <v/>
      </c>
      <c r="O82" s="33" t="str">
        <f>IF(Account!$F82&lt;&gt;"", DATEVALUE(MID($A82,4,3) &amp; LEFT($A82,3) &amp; RIGHT($A82,4)) + TIMEVALUE($B82), "")</f>
        <v/>
      </c>
      <c r="P82" s="34" t="str">
        <f>IF(Account!$F82&lt;&gt;"", DATEVALUE(MID($C82,4,3) &amp; LEFT($C82,3) &amp; RIGHT($C82,4)), "")</f>
        <v/>
      </c>
      <c r="Q82" s="35" t="str">
        <f t="array" ref="Q82">IF($R82&lt;&gt;"",IFERROR(INDEX(ISIN!$B:$B,MATCH($R82,ISIN!$C:$C,0))),)</f>
        <v/>
      </c>
      <c r="R82" s="36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5" t="str">
        <f t="shared" si="1"/>
        <v/>
      </c>
      <c r="T82" s="37" t="str">
        <f t="shared" si="2"/>
        <v/>
      </c>
      <c r="U82" s="38" t="str">
        <f t="shared" si="3"/>
        <v/>
      </c>
      <c r="V82" s="32" t="str">
        <f t="shared" si="4"/>
        <v/>
      </c>
      <c r="W82" s="39" t="str">
        <f>IFERROR(__xludf.DUMMYFUNCTION(" IF(Account!$F82&lt;&gt;"""", SPLIT(Account!$F82, "" ""), """")"),"")</f>
        <v/>
      </c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</row>
    <row r="83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12"/>
      <c r="L83" s="13"/>
      <c r="M83" s="30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2" t="str">
        <f>IFERROR(__xludf.DUMMYFUNCTION("IF(Account!$F83&lt;&gt;"""", VALUE(REGEXREPLACE($I83, ""\,"", ""."")), """")"),"")</f>
        <v/>
      </c>
      <c r="O83" s="33" t="str">
        <f>IF(Account!$F83&lt;&gt;"", DATEVALUE(MID($A83,4,3) &amp; LEFT($A83,3) &amp; RIGHT($A83,4)) + TIMEVALUE($B83), "")</f>
        <v/>
      </c>
      <c r="P83" s="34" t="str">
        <f>IF(Account!$F83&lt;&gt;"", DATEVALUE(MID($C83,4,3) &amp; LEFT($C83,3) &amp; RIGHT($C83,4)), "")</f>
        <v/>
      </c>
      <c r="Q83" s="35" t="str">
        <f t="array" ref="Q83">IF($R83&lt;&gt;"",IFERROR(INDEX(ISIN!$B:$B,MATCH($R83,ISIN!$C:$C,0))),)</f>
        <v/>
      </c>
      <c r="R83" s="36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5" t="str">
        <f t="shared" si="1"/>
        <v/>
      </c>
      <c r="T83" s="37" t="str">
        <f t="shared" si="2"/>
        <v/>
      </c>
      <c r="U83" s="38" t="str">
        <f t="shared" si="3"/>
        <v/>
      </c>
      <c r="V83" s="32" t="str">
        <f t="shared" si="4"/>
        <v/>
      </c>
      <c r="W83" s="39" t="str">
        <f>IFERROR(__xludf.DUMMYFUNCTION(" IF(Account!$F83&lt;&gt;"""", SPLIT(Account!$F83, "" ""), """")"),"")</f>
        <v/>
      </c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</row>
    <row r="84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12"/>
      <c r="L84" s="13"/>
      <c r="M84" s="30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2" t="str">
        <f>IFERROR(__xludf.DUMMYFUNCTION("IF(Account!$F84&lt;&gt;"""", VALUE(REGEXREPLACE($I84, ""\,"", ""."")), """")"),"")</f>
        <v/>
      </c>
      <c r="O84" s="33" t="str">
        <f>IF(Account!$F84&lt;&gt;"", DATEVALUE(MID($A84,4,3) &amp; LEFT($A84,3) &amp; RIGHT($A84,4)) + TIMEVALUE($B84), "")</f>
        <v/>
      </c>
      <c r="P84" s="34" t="str">
        <f>IF(Account!$F84&lt;&gt;"", DATEVALUE(MID($C84,4,3) &amp; LEFT($C84,3) &amp; RIGHT($C84,4)), "")</f>
        <v/>
      </c>
      <c r="Q84" s="35" t="str">
        <f t="array" ref="Q84">IF($R84&lt;&gt;"",IFERROR(INDEX(ISIN!$B:$B,MATCH($R84,ISIN!$C:$C,0))),)</f>
        <v/>
      </c>
      <c r="R84" s="36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5" t="str">
        <f t="shared" si="1"/>
        <v/>
      </c>
      <c r="T84" s="37" t="str">
        <f t="shared" si="2"/>
        <v/>
      </c>
      <c r="U84" s="38" t="str">
        <f t="shared" si="3"/>
        <v/>
      </c>
      <c r="V84" s="32" t="str">
        <f t="shared" si="4"/>
        <v/>
      </c>
      <c r="W84" s="39" t="str">
        <f>IFERROR(__xludf.DUMMYFUNCTION(" IF(Account!$F84&lt;&gt;"""", SPLIT(Account!$F84, "" ""), """")"),"")</f>
        <v/>
      </c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</row>
    <row r="85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12"/>
      <c r="L85" s="13"/>
      <c r="M85" s="30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2" t="str">
        <f>IFERROR(__xludf.DUMMYFUNCTION("IF(Account!$F85&lt;&gt;"""", VALUE(REGEXREPLACE($I85, ""\,"", ""."")), """")"),"")</f>
        <v/>
      </c>
      <c r="O85" s="33" t="str">
        <f>IF(Account!$F85&lt;&gt;"", DATEVALUE(MID($A85,4,3) &amp; LEFT($A85,3) &amp; RIGHT($A85,4)) + TIMEVALUE($B85), "")</f>
        <v/>
      </c>
      <c r="P85" s="34" t="str">
        <f>IF(Account!$F85&lt;&gt;"", DATEVALUE(MID($C85,4,3) &amp; LEFT($C85,3) &amp; RIGHT($C85,4)), "")</f>
        <v/>
      </c>
      <c r="Q85" s="35" t="str">
        <f t="array" ref="Q85">IF($R85&lt;&gt;"",IFERROR(INDEX(ISIN!$B:$B,MATCH($R85,ISIN!$C:$C,0))),)</f>
        <v/>
      </c>
      <c r="R85" s="36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5" t="str">
        <f t="shared" si="1"/>
        <v/>
      </c>
      <c r="T85" s="37" t="str">
        <f t="shared" si="2"/>
        <v/>
      </c>
      <c r="U85" s="38" t="str">
        <f t="shared" si="3"/>
        <v/>
      </c>
      <c r="V85" s="32" t="str">
        <f t="shared" si="4"/>
        <v/>
      </c>
      <c r="W85" s="39" t="str">
        <f>IFERROR(__xludf.DUMMYFUNCTION(" IF(Account!$F85&lt;&gt;"""", SPLIT(Account!$F85, "" ""), """")"),"")</f>
        <v/>
      </c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</row>
    <row r="86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12"/>
      <c r="L86" s="13"/>
      <c r="M86" s="30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2" t="str">
        <f>IFERROR(__xludf.DUMMYFUNCTION("IF(Account!$F86&lt;&gt;"""", VALUE(REGEXREPLACE($I86, ""\,"", ""."")), """")"),"")</f>
        <v/>
      </c>
      <c r="O86" s="33" t="str">
        <f>IF(Account!$F86&lt;&gt;"", DATEVALUE(MID($A86,4,3) &amp; LEFT($A86,3) &amp; RIGHT($A86,4)) + TIMEVALUE($B86), "")</f>
        <v/>
      </c>
      <c r="P86" s="34" t="str">
        <f>IF(Account!$F86&lt;&gt;"", DATEVALUE(MID($C86,4,3) &amp; LEFT($C86,3) &amp; RIGHT($C86,4)), "")</f>
        <v/>
      </c>
      <c r="Q86" s="35" t="str">
        <f t="array" ref="Q86">IF($R86&lt;&gt;"",IFERROR(INDEX(ISIN!$B:$B,MATCH($R86,ISIN!$C:$C,0))),)</f>
        <v/>
      </c>
      <c r="R86" s="36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5" t="str">
        <f t="shared" si="1"/>
        <v/>
      </c>
      <c r="T86" s="37" t="str">
        <f t="shared" si="2"/>
        <v/>
      </c>
      <c r="U86" s="38" t="str">
        <f t="shared" si="3"/>
        <v/>
      </c>
      <c r="V86" s="32" t="str">
        <f t="shared" si="4"/>
        <v/>
      </c>
      <c r="W86" s="39" t="str">
        <f>IFERROR(__xludf.DUMMYFUNCTION(" IF(Account!$F86&lt;&gt;"""", SPLIT(Account!$F86, "" ""), """")"),"")</f>
        <v/>
      </c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</row>
    <row r="87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12"/>
      <c r="L87" s="13"/>
      <c r="M87" s="30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2" t="str">
        <f>IFERROR(__xludf.DUMMYFUNCTION("IF(Account!$F87&lt;&gt;"""", VALUE(REGEXREPLACE($I87, ""\,"", ""."")), """")"),"")</f>
        <v/>
      </c>
      <c r="O87" s="33" t="str">
        <f>IF(Account!$F87&lt;&gt;"", DATEVALUE(MID($A87,4,3) &amp; LEFT($A87,3) &amp; RIGHT($A87,4)) + TIMEVALUE($B87), "")</f>
        <v/>
      </c>
      <c r="P87" s="34" t="str">
        <f>IF(Account!$F87&lt;&gt;"", DATEVALUE(MID($C87,4,3) &amp; LEFT($C87,3) &amp; RIGHT($C87,4)), "")</f>
        <v/>
      </c>
      <c r="Q87" s="35" t="str">
        <f t="array" ref="Q87">IF($R87&lt;&gt;"",IFERROR(INDEX(ISIN!$B:$B,MATCH($R87,ISIN!$C:$C,0))),)</f>
        <v/>
      </c>
      <c r="R87" s="36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5" t="str">
        <f t="shared" si="1"/>
        <v/>
      </c>
      <c r="T87" s="37" t="str">
        <f t="shared" si="2"/>
        <v/>
      </c>
      <c r="U87" s="38" t="str">
        <f t="shared" si="3"/>
        <v/>
      </c>
      <c r="V87" s="32" t="str">
        <f t="shared" si="4"/>
        <v/>
      </c>
      <c r="W87" s="39" t="str">
        <f>IFERROR(__xludf.DUMMYFUNCTION(" IF(Account!$F87&lt;&gt;"""", SPLIT(Account!$F87, "" ""), """")"),"")</f>
        <v/>
      </c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</row>
    <row r="88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12"/>
      <c r="L88" s="13"/>
      <c r="M88" s="30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2" t="str">
        <f>IFERROR(__xludf.DUMMYFUNCTION("IF(Account!$F88&lt;&gt;"""", VALUE(REGEXREPLACE($I88, ""\,"", ""."")), """")"),"")</f>
        <v/>
      </c>
      <c r="O88" s="33" t="str">
        <f>IF(Account!$F88&lt;&gt;"", DATEVALUE(MID($A88,4,3) &amp; LEFT($A88,3) &amp; RIGHT($A88,4)) + TIMEVALUE($B88), "")</f>
        <v/>
      </c>
      <c r="P88" s="34" t="str">
        <f>IF(Account!$F88&lt;&gt;"", DATEVALUE(MID($C88,4,3) &amp; LEFT($C88,3) &amp; RIGHT($C88,4)), "")</f>
        <v/>
      </c>
      <c r="Q88" s="35" t="str">
        <f t="array" ref="Q88">IF($R88&lt;&gt;"",IFERROR(INDEX(ISIN!$B:$B,MATCH($R88,ISIN!$C:$C,0))),)</f>
        <v/>
      </c>
      <c r="R88" s="36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5" t="str">
        <f t="shared" si="1"/>
        <v/>
      </c>
      <c r="T88" s="37" t="str">
        <f t="shared" si="2"/>
        <v/>
      </c>
      <c r="U88" s="38" t="str">
        <f t="shared" si="3"/>
        <v/>
      </c>
      <c r="V88" s="32" t="str">
        <f t="shared" si="4"/>
        <v/>
      </c>
      <c r="W88" s="39" t="str">
        <f>IFERROR(__xludf.DUMMYFUNCTION(" IF(Account!$F88&lt;&gt;"""", SPLIT(Account!$F88, "" ""), """")"),"")</f>
        <v/>
      </c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</row>
    <row r="89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12"/>
      <c r="L89" s="13"/>
      <c r="M89" s="30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2" t="str">
        <f>IFERROR(__xludf.DUMMYFUNCTION("IF(Account!$F89&lt;&gt;"""", VALUE(REGEXREPLACE($I89, ""\,"", ""."")), """")"),"")</f>
        <v/>
      </c>
      <c r="O89" s="33" t="str">
        <f>IF(Account!$F89&lt;&gt;"", DATEVALUE(MID($A89,4,3) &amp; LEFT($A89,3) &amp; RIGHT($A89,4)) + TIMEVALUE($B89), "")</f>
        <v/>
      </c>
      <c r="P89" s="34" t="str">
        <f>IF(Account!$F89&lt;&gt;"", DATEVALUE(MID($C89,4,3) &amp; LEFT($C89,3) &amp; RIGHT($C89,4)), "")</f>
        <v/>
      </c>
      <c r="Q89" s="35" t="str">
        <f t="array" ref="Q89">IF($R89&lt;&gt;"",IFERROR(INDEX(ISIN!$B:$B,MATCH($R89,ISIN!$C:$C,0))),)</f>
        <v/>
      </c>
      <c r="R89" s="36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5" t="str">
        <f t="shared" si="1"/>
        <v/>
      </c>
      <c r="T89" s="37" t="str">
        <f t="shared" si="2"/>
        <v/>
      </c>
      <c r="U89" s="38" t="str">
        <f t="shared" si="3"/>
        <v/>
      </c>
      <c r="V89" s="32" t="str">
        <f t="shared" si="4"/>
        <v/>
      </c>
      <c r="W89" s="39" t="str">
        <f>IFERROR(__xludf.DUMMYFUNCTION(" IF(Account!$F89&lt;&gt;"""", SPLIT(Account!$F89, "" ""), """")"),"")</f>
        <v/>
      </c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</row>
    <row r="90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12"/>
      <c r="L90" s="13"/>
      <c r="M90" s="30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2" t="str">
        <f>IFERROR(__xludf.DUMMYFUNCTION("IF(Account!$F90&lt;&gt;"""", VALUE(REGEXREPLACE($I90, ""\,"", ""."")), """")"),"")</f>
        <v/>
      </c>
      <c r="O90" s="33" t="str">
        <f>IF(Account!$F90&lt;&gt;"", DATEVALUE(MID($A90,4,3) &amp; LEFT($A90,3) &amp; RIGHT($A90,4)) + TIMEVALUE($B90), "")</f>
        <v/>
      </c>
      <c r="P90" s="34" t="str">
        <f>IF(Account!$F90&lt;&gt;"", DATEVALUE(MID($C90,4,3) &amp; LEFT($C90,3) &amp; RIGHT($C90,4)), "")</f>
        <v/>
      </c>
      <c r="Q90" s="35" t="str">
        <f t="array" ref="Q90">IF($R90&lt;&gt;"",IFERROR(INDEX(ISIN!$B:$B,MATCH($R90,ISIN!$C:$C,0))),)</f>
        <v/>
      </c>
      <c r="R90" s="36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5" t="str">
        <f t="shared" si="1"/>
        <v/>
      </c>
      <c r="T90" s="37" t="str">
        <f t="shared" si="2"/>
        <v/>
      </c>
      <c r="U90" s="38" t="str">
        <f t="shared" si="3"/>
        <v/>
      </c>
      <c r="V90" s="32" t="str">
        <f t="shared" si="4"/>
        <v/>
      </c>
      <c r="W90" s="39" t="str">
        <f>IFERROR(__xludf.DUMMYFUNCTION(" IF(Account!$F90&lt;&gt;"""", SPLIT(Account!$F90, "" ""), """")"),"")</f>
        <v/>
      </c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</row>
    <row r="91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12"/>
      <c r="L91" s="13"/>
      <c r="M91" s="30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2" t="str">
        <f>IFERROR(__xludf.DUMMYFUNCTION("IF(Account!$F91&lt;&gt;"""", VALUE(REGEXREPLACE($I91, ""\,"", ""."")), """")"),"")</f>
        <v/>
      </c>
      <c r="O91" s="33" t="str">
        <f>IF(Account!$F91&lt;&gt;"", DATEVALUE(MID($A91,4,3) &amp; LEFT($A91,3) &amp; RIGHT($A91,4)) + TIMEVALUE($B91), "")</f>
        <v/>
      </c>
      <c r="P91" s="34" t="str">
        <f>IF(Account!$F91&lt;&gt;"", DATEVALUE(MID($C91,4,3) &amp; LEFT($C91,3) &amp; RIGHT($C91,4)), "")</f>
        <v/>
      </c>
      <c r="Q91" s="35" t="str">
        <f t="array" ref="Q91">IF($R91&lt;&gt;"",IFERROR(INDEX(ISIN!$B:$B,MATCH($R91,ISIN!$C:$C,0))),)</f>
        <v/>
      </c>
      <c r="R91" s="36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5" t="str">
        <f t="shared" si="1"/>
        <v/>
      </c>
      <c r="T91" s="37" t="str">
        <f t="shared" si="2"/>
        <v/>
      </c>
      <c r="U91" s="38" t="str">
        <f t="shared" si="3"/>
        <v/>
      </c>
      <c r="V91" s="32" t="str">
        <f t="shared" si="4"/>
        <v/>
      </c>
      <c r="W91" s="39" t="str">
        <f>IFERROR(__xludf.DUMMYFUNCTION(" IF(Account!$F91&lt;&gt;"""", SPLIT(Account!$F91, "" ""), """")"),"")</f>
        <v/>
      </c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</row>
    <row r="92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12"/>
      <c r="L92" s="13"/>
      <c r="M92" s="30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2" t="str">
        <f>IFERROR(__xludf.DUMMYFUNCTION("IF(Account!$F92&lt;&gt;"""", VALUE(REGEXREPLACE($I92, ""\,"", ""."")), """")"),"")</f>
        <v/>
      </c>
      <c r="O92" s="33" t="str">
        <f>IF(Account!$F92&lt;&gt;"", DATEVALUE(MID($A92,4,3) &amp; LEFT($A92,3) &amp; RIGHT($A92,4)) + TIMEVALUE($B92), "")</f>
        <v/>
      </c>
      <c r="P92" s="34" t="str">
        <f>IF(Account!$F92&lt;&gt;"", DATEVALUE(MID($C92,4,3) &amp; LEFT($C92,3) &amp; RIGHT($C92,4)), "")</f>
        <v/>
      </c>
      <c r="Q92" s="35" t="str">
        <f t="array" ref="Q92">IF($R92&lt;&gt;"",IFERROR(INDEX(ISIN!$B:$B,MATCH($R92,ISIN!$C:$C,0))),)</f>
        <v/>
      </c>
      <c r="R92" s="36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5" t="str">
        <f t="shared" si="1"/>
        <v/>
      </c>
      <c r="T92" s="37" t="str">
        <f t="shared" si="2"/>
        <v/>
      </c>
      <c r="U92" s="38" t="str">
        <f t="shared" si="3"/>
        <v/>
      </c>
      <c r="V92" s="32" t="str">
        <f t="shared" si="4"/>
        <v/>
      </c>
      <c r="W92" s="39" t="str">
        <f>IFERROR(__xludf.DUMMYFUNCTION(" IF(Account!$F92&lt;&gt;"""", SPLIT(Account!$F92, "" ""), """")"),"")</f>
        <v/>
      </c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</row>
    <row r="93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12"/>
      <c r="L93" s="13"/>
      <c r="M93" s="30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2" t="str">
        <f>IFERROR(__xludf.DUMMYFUNCTION("IF(Account!$F93&lt;&gt;"""", VALUE(REGEXREPLACE($I93, ""\,"", ""."")), """")"),"")</f>
        <v/>
      </c>
      <c r="O93" s="33" t="str">
        <f>IF(Account!$F93&lt;&gt;"", DATEVALUE(MID($A93,4,3) &amp; LEFT($A93,3) &amp; RIGHT($A93,4)) + TIMEVALUE($B93), "")</f>
        <v/>
      </c>
      <c r="P93" s="34" t="str">
        <f>IF(Account!$F93&lt;&gt;"", DATEVALUE(MID($C93,4,3) &amp; LEFT($C93,3) &amp; RIGHT($C93,4)), "")</f>
        <v/>
      </c>
      <c r="Q93" s="35" t="str">
        <f t="array" ref="Q93">IF($R93&lt;&gt;"",IFERROR(INDEX(ISIN!$B:$B,MATCH($R93,ISIN!$C:$C,0))),)</f>
        <v/>
      </c>
      <c r="R93" s="36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5" t="str">
        <f t="shared" si="1"/>
        <v/>
      </c>
      <c r="T93" s="37" t="str">
        <f t="shared" si="2"/>
        <v/>
      </c>
      <c r="U93" s="38" t="str">
        <f t="shared" si="3"/>
        <v/>
      </c>
      <c r="V93" s="32" t="str">
        <f t="shared" si="4"/>
        <v/>
      </c>
      <c r="W93" s="39" t="str">
        <f>IFERROR(__xludf.DUMMYFUNCTION(" IF(Account!$F93&lt;&gt;"""", SPLIT(Account!$F93, "" ""), """")"),"")</f>
        <v/>
      </c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</row>
    <row r="94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12"/>
      <c r="L94" s="13"/>
      <c r="M94" s="30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2" t="str">
        <f>IFERROR(__xludf.DUMMYFUNCTION("IF(Account!$F94&lt;&gt;"""", VALUE(REGEXREPLACE($I94, ""\,"", ""."")), """")"),"")</f>
        <v/>
      </c>
      <c r="O94" s="33" t="str">
        <f>IF(Account!$F94&lt;&gt;"", DATEVALUE(MID($A94,4,3) &amp; LEFT($A94,3) &amp; RIGHT($A94,4)) + TIMEVALUE($B94), "")</f>
        <v/>
      </c>
      <c r="P94" s="34" t="str">
        <f>IF(Account!$F94&lt;&gt;"", DATEVALUE(MID($C94,4,3) &amp; LEFT($C94,3) &amp; RIGHT($C94,4)), "")</f>
        <v/>
      </c>
      <c r="Q94" s="35" t="str">
        <f t="array" ref="Q94">IF($R94&lt;&gt;"",IFERROR(INDEX(ISIN!$B:$B,MATCH($R94,ISIN!$C:$C,0))),)</f>
        <v/>
      </c>
      <c r="R94" s="36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5" t="str">
        <f t="shared" si="1"/>
        <v/>
      </c>
      <c r="T94" s="37" t="str">
        <f t="shared" si="2"/>
        <v/>
      </c>
      <c r="U94" s="38" t="str">
        <f t="shared" si="3"/>
        <v/>
      </c>
      <c r="V94" s="32" t="str">
        <f t="shared" si="4"/>
        <v/>
      </c>
      <c r="W94" s="39" t="str">
        <f>IFERROR(__xludf.DUMMYFUNCTION(" IF(Account!$F94&lt;&gt;"""", SPLIT(Account!$F94, "" ""), """")"),"")</f>
        <v/>
      </c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</row>
    <row r="95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12"/>
      <c r="L95" s="13"/>
      <c r="M95" s="30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2" t="str">
        <f>IFERROR(__xludf.DUMMYFUNCTION("IF(Account!$F95&lt;&gt;"""", VALUE(REGEXREPLACE($I95, ""\,"", ""."")), """")"),"")</f>
        <v/>
      </c>
      <c r="O95" s="33" t="str">
        <f>IF(Account!$F95&lt;&gt;"", DATEVALUE(MID($A95,4,3) &amp; LEFT($A95,3) &amp; RIGHT($A95,4)) + TIMEVALUE($B95), "")</f>
        <v/>
      </c>
      <c r="P95" s="34" t="str">
        <f>IF(Account!$F95&lt;&gt;"", DATEVALUE(MID($C95,4,3) &amp; LEFT($C95,3) &amp; RIGHT($C95,4)), "")</f>
        <v/>
      </c>
      <c r="Q95" s="35" t="str">
        <f t="array" ref="Q95">IF($R95&lt;&gt;"",IFERROR(INDEX(ISIN!$B:$B,MATCH($R95,ISIN!$C:$C,0))),)</f>
        <v/>
      </c>
      <c r="R95" s="36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5" t="str">
        <f t="shared" si="1"/>
        <v/>
      </c>
      <c r="T95" s="37" t="str">
        <f t="shared" si="2"/>
        <v/>
      </c>
      <c r="U95" s="38" t="str">
        <f t="shared" si="3"/>
        <v/>
      </c>
      <c r="V95" s="32" t="str">
        <f t="shared" si="4"/>
        <v/>
      </c>
      <c r="W95" s="39" t="str">
        <f>IFERROR(__xludf.DUMMYFUNCTION(" IF(Account!$F95&lt;&gt;"""", SPLIT(Account!$F95, "" ""), """")"),"")</f>
        <v/>
      </c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</row>
    <row r="96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12"/>
      <c r="L96" s="13"/>
      <c r="M96" s="30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2" t="str">
        <f>IFERROR(__xludf.DUMMYFUNCTION("IF(Account!$F96&lt;&gt;"""", VALUE(REGEXREPLACE($I96, ""\,"", ""."")), """")"),"")</f>
        <v/>
      </c>
      <c r="O96" s="33" t="str">
        <f>IF(Account!$F96&lt;&gt;"", DATEVALUE(MID($A96,4,3) &amp; LEFT($A96,3) &amp; RIGHT($A96,4)) + TIMEVALUE($B96), "")</f>
        <v/>
      </c>
      <c r="P96" s="34" t="str">
        <f>IF(Account!$F96&lt;&gt;"", DATEVALUE(MID($C96,4,3) &amp; LEFT($C96,3) &amp; RIGHT($C96,4)), "")</f>
        <v/>
      </c>
      <c r="Q96" s="35" t="str">
        <f t="array" ref="Q96">IF($R96&lt;&gt;"",IFERROR(INDEX(ISIN!$B:$B,MATCH($R96,ISIN!$C:$C,0))),)</f>
        <v/>
      </c>
      <c r="R96" s="36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5" t="str">
        <f t="shared" si="1"/>
        <v/>
      </c>
      <c r="T96" s="37" t="str">
        <f t="shared" si="2"/>
        <v/>
      </c>
      <c r="U96" s="38" t="str">
        <f t="shared" si="3"/>
        <v/>
      </c>
      <c r="V96" s="32" t="str">
        <f t="shared" si="4"/>
        <v/>
      </c>
      <c r="W96" s="39" t="str">
        <f>IFERROR(__xludf.DUMMYFUNCTION(" IF(Account!$F96&lt;&gt;"""", SPLIT(Account!$F96, "" ""), """")"),"")</f>
        <v/>
      </c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</row>
    <row r="97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12"/>
      <c r="L97" s="13"/>
      <c r="M97" s="30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2" t="str">
        <f>IFERROR(__xludf.DUMMYFUNCTION("IF(Account!$F97&lt;&gt;"""", VALUE(REGEXREPLACE($I97, ""\,"", ""."")), """")"),"")</f>
        <v/>
      </c>
      <c r="O97" s="33" t="str">
        <f>IF(Account!$F97&lt;&gt;"", DATEVALUE(MID($A97,4,3) &amp; LEFT($A97,3) &amp; RIGHT($A97,4)) + TIMEVALUE($B97), "")</f>
        <v/>
      </c>
      <c r="P97" s="34" t="str">
        <f>IF(Account!$F97&lt;&gt;"", DATEVALUE(MID($C97,4,3) &amp; LEFT($C97,3) &amp; RIGHT($C97,4)), "")</f>
        <v/>
      </c>
      <c r="Q97" s="35" t="str">
        <f t="array" ref="Q97">IF($R97&lt;&gt;"",IFERROR(INDEX(ISIN!$B:$B,MATCH($R97,ISIN!$C:$C,0))),)</f>
        <v/>
      </c>
      <c r="R97" s="36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5" t="str">
        <f t="shared" si="1"/>
        <v/>
      </c>
      <c r="T97" s="37" t="str">
        <f t="shared" si="2"/>
        <v/>
      </c>
      <c r="U97" s="38" t="str">
        <f t="shared" si="3"/>
        <v/>
      </c>
      <c r="V97" s="32" t="str">
        <f t="shared" si="4"/>
        <v/>
      </c>
      <c r="W97" s="39" t="str">
        <f>IFERROR(__xludf.DUMMYFUNCTION(" IF(Account!$F97&lt;&gt;"""", SPLIT(Account!$F97, "" ""), """")"),"")</f>
        <v/>
      </c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</row>
    <row r="98">
      <c r="A98" s="12"/>
      <c r="B98" s="12"/>
      <c r="C98" s="12"/>
      <c r="D98" s="12"/>
      <c r="E98" s="12"/>
      <c r="F98" s="13"/>
      <c r="G98" s="12"/>
      <c r="H98" s="12"/>
      <c r="I98" s="12"/>
      <c r="J98" s="12"/>
      <c r="K98" s="12"/>
      <c r="L98" s="13"/>
      <c r="M98" s="30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2" t="str">
        <f>IFERROR(__xludf.DUMMYFUNCTION("IF(Account!$F98&lt;&gt;"""", VALUE(REGEXREPLACE($I98, ""\,"", ""."")), """")"),"")</f>
        <v/>
      </c>
      <c r="O98" s="33" t="str">
        <f>IF(Account!$F98&lt;&gt;"", DATEVALUE(MID($A98,4,3) &amp; LEFT($A98,3) &amp; RIGHT($A98,4)) + TIMEVALUE($B98), "")</f>
        <v/>
      </c>
      <c r="P98" s="34" t="str">
        <f>IF(Account!$F98&lt;&gt;"", DATEVALUE(MID($C98,4,3) &amp; LEFT($C98,3) &amp; RIGHT($C98,4)), "")</f>
        <v/>
      </c>
      <c r="Q98" s="35" t="str">
        <f t="array" ref="Q98">IF($R98&lt;&gt;"",IFERROR(INDEX(ISIN!$B:$B,MATCH($R98,ISIN!$C:$C,0))),)</f>
        <v/>
      </c>
      <c r="R98" s="36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5" t="str">
        <f t="shared" si="1"/>
        <v/>
      </c>
      <c r="T98" s="37" t="str">
        <f t="shared" si="2"/>
        <v/>
      </c>
      <c r="U98" s="38" t="str">
        <f t="shared" si="3"/>
        <v/>
      </c>
      <c r="V98" s="32" t="str">
        <f t="shared" si="4"/>
        <v/>
      </c>
      <c r="W98" s="39" t="str">
        <f>IFERROR(__xludf.DUMMYFUNCTION(" IF(Account!$F98&lt;&gt;"""", SPLIT(Account!$F98, "" ""), """")"),"")</f>
        <v/>
      </c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</row>
    <row r="99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3"/>
      <c r="M99" s="30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2" t="str">
        <f>IFERROR(__xludf.DUMMYFUNCTION("IF(Account!$F99&lt;&gt;"""", VALUE(REGEXREPLACE($I99, ""\,"", ""."")), """")"),"")</f>
        <v/>
      </c>
      <c r="O99" s="33" t="str">
        <f>IF(Account!$F99&lt;&gt;"", DATEVALUE(MID($A99,4,3) &amp; LEFT($A99,3) &amp; RIGHT($A99,4)) + TIMEVALUE($B99), "")</f>
        <v/>
      </c>
      <c r="P99" s="34" t="str">
        <f>IF(Account!$F99&lt;&gt;"", DATEVALUE(MID($C99,4,3) &amp; LEFT($C99,3) &amp; RIGHT($C99,4)), "")</f>
        <v/>
      </c>
      <c r="Q99" s="35" t="str">
        <f t="array" ref="Q99">IF($R99&lt;&gt;"",IFERROR(INDEX(ISIN!$B:$B,MATCH($R99,ISIN!$C:$C,0))),)</f>
        <v/>
      </c>
      <c r="R99" s="36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5" t="str">
        <f t="shared" si="1"/>
        <v/>
      </c>
      <c r="T99" s="37" t="str">
        <f t="shared" si="2"/>
        <v/>
      </c>
      <c r="U99" s="38" t="str">
        <f t="shared" si="3"/>
        <v/>
      </c>
      <c r="V99" s="32" t="str">
        <f t="shared" si="4"/>
        <v/>
      </c>
      <c r="W99" s="39" t="str">
        <f>IFERROR(__xludf.DUMMYFUNCTION(" IF(Account!$F99&lt;&gt;"""", SPLIT(Account!$F99, "" ""), """")"),"")</f>
        <v/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</row>
    <row r="100">
      <c r="A100" s="12"/>
      <c r="B100" s="12"/>
      <c r="C100" s="12"/>
      <c r="D100" s="12"/>
      <c r="E100" s="12"/>
      <c r="F100" s="13"/>
      <c r="G100" s="12"/>
      <c r="H100" s="12"/>
      <c r="I100" s="12"/>
      <c r="J100" s="12"/>
      <c r="K100" s="12"/>
      <c r="L100" s="13"/>
      <c r="M100" s="30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2" t="str">
        <f>IFERROR(__xludf.DUMMYFUNCTION("IF(Account!$F100&lt;&gt;"""", VALUE(REGEXREPLACE($I100, ""\,"", ""."")), """")"),"")</f>
        <v/>
      </c>
      <c r="O100" s="33" t="str">
        <f>IF(Account!$F100&lt;&gt;"", DATEVALUE(MID($A100,4,3) &amp; LEFT($A100,3) &amp; RIGHT($A100,4)) + TIMEVALUE($B100), "")</f>
        <v/>
      </c>
      <c r="P100" s="34" t="str">
        <f>IF(Account!$F100&lt;&gt;"", DATEVALUE(MID($C100,4,3) &amp; LEFT($C100,3) &amp; RIGHT($C100,4)), "")</f>
        <v/>
      </c>
      <c r="Q100" s="35" t="str">
        <f t="array" ref="Q100">IF($R100&lt;&gt;"",IFERROR(INDEX(ISIN!$B:$B,MATCH($R100,ISIN!$C:$C,0))),)</f>
        <v/>
      </c>
      <c r="R100" s="36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5" t="str">
        <f t="shared" si="1"/>
        <v/>
      </c>
      <c r="T100" s="37" t="str">
        <f t="shared" si="2"/>
        <v/>
      </c>
      <c r="U100" s="38" t="str">
        <f t="shared" si="3"/>
        <v/>
      </c>
      <c r="V100" s="32" t="str">
        <f t="shared" si="4"/>
        <v/>
      </c>
      <c r="W100" s="39" t="str">
        <f>IFERROR(__xludf.DUMMYFUNCTION(" IF(Account!$F100&lt;&gt;"""", SPLIT(Account!$F100, "" ""), """")"),"")</f>
        <v/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</row>
    <row r="101">
      <c r="A101" s="12"/>
      <c r="B101" s="12"/>
      <c r="C101" s="12"/>
      <c r="D101" s="12"/>
      <c r="E101" s="12"/>
      <c r="F101" s="13"/>
      <c r="G101" s="12"/>
      <c r="H101" s="12"/>
      <c r="I101" s="12"/>
      <c r="J101" s="12"/>
      <c r="K101" s="12"/>
      <c r="L101" s="13"/>
      <c r="M101" s="30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2" t="str">
        <f>IFERROR(__xludf.DUMMYFUNCTION("IF(Account!$F101&lt;&gt;"""", VALUE(REGEXREPLACE($I101, ""\,"", ""."")), """")"),"")</f>
        <v/>
      </c>
      <c r="O101" s="33" t="str">
        <f>IF(Account!$F101&lt;&gt;"", DATEVALUE(MID($A101,4,3) &amp; LEFT($A101,3) &amp; RIGHT($A101,4)) + TIMEVALUE($B101), "")</f>
        <v/>
      </c>
      <c r="P101" s="34" t="str">
        <f>IF(Account!$F101&lt;&gt;"", DATEVALUE(MID($C101,4,3) &amp; LEFT($C101,3) &amp; RIGHT($C101,4)), "")</f>
        <v/>
      </c>
      <c r="Q101" s="35" t="str">
        <f t="array" ref="Q101">IF($R101&lt;&gt;"",IFERROR(INDEX(ISIN!$B:$B,MATCH($R101,ISIN!$C:$C,0))),)</f>
        <v/>
      </c>
      <c r="R101" s="36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5" t="str">
        <f t="shared" si="1"/>
        <v/>
      </c>
      <c r="T101" s="37" t="str">
        <f t="shared" si="2"/>
        <v/>
      </c>
      <c r="U101" s="38" t="str">
        <f t="shared" si="3"/>
        <v/>
      </c>
      <c r="V101" s="32" t="str">
        <f t="shared" si="4"/>
        <v/>
      </c>
      <c r="W101" s="39" t="str">
        <f>IFERROR(__xludf.DUMMYFUNCTION(" IF(Account!$F101&lt;&gt;"""", SPLIT(Account!$F101, "" ""), """")"),"")</f>
        <v/>
      </c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</row>
    <row r="102">
      <c r="A102" s="12"/>
      <c r="B102" s="12"/>
      <c r="C102" s="12"/>
      <c r="D102" s="12"/>
      <c r="E102" s="12"/>
      <c r="F102" s="13"/>
      <c r="G102" s="12"/>
      <c r="H102" s="12"/>
      <c r="I102" s="12"/>
      <c r="J102" s="12"/>
      <c r="K102" s="12"/>
      <c r="L102" s="13"/>
      <c r="M102" s="30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2" t="str">
        <f>IFERROR(__xludf.DUMMYFUNCTION("IF(Account!$F102&lt;&gt;"""", VALUE(REGEXREPLACE($I102, ""\,"", ""."")), """")"),"")</f>
        <v/>
      </c>
      <c r="O102" s="33" t="str">
        <f>IF(Account!$F102&lt;&gt;"", DATEVALUE(MID($A102,4,3) &amp; LEFT($A102,3) &amp; RIGHT($A102,4)) + TIMEVALUE($B102), "")</f>
        <v/>
      </c>
      <c r="P102" s="34" t="str">
        <f>IF(Account!$F102&lt;&gt;"", DATEVALUE(MID($C102,4,3) &amp; LEFT($C102,3) &amp; RIGHT($C102,4)), "")</f>
        <v/>
      </c>
      <c r="Q102" s="35" t="str">
        <f t="array" ref="Q102">IF($R102&lt;&gt;"",IFERROR(INDEX(ISIN!$B:$B,MATCH($R102,ISIN!$C:$C,0))),)</f>
        <v/>
      </c>
      <c r="R102" s="36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5" t="str">
        <f t="shared" si="1"/>
        <v/>
      </c>
      <c r="T102" s="37" t="str">
        <f t="shared" si="2"/>
        <v/>
      </c>
      <c r="U102" s="38" t="str">
        <f t="shared" si="3"/>
        <v/>
      </c>
      <c r="V102" s="32" t="str">
        <f t="shared" si="4"/>
        <v/>
      </c>
      <c r="W102" s="39" t="str">
        <f>IFERROR(__xludf.DUMMYFUNCTION(" IF(Account!$F102&lt;&gt;"""", SPLIT(Account!$F102, "" ""), """")"),"")</f>
        <v/>
      </c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</row>
    <row r="103">
      <c r="A103" s="12"/>
      <c r="B103" s="12"/>
      <c r="C103" s="12"/>
      <c r="D103" s="12"/>
      <c r="E103" s="12"/>
      <c r="F103" s="13"/>
      <c r="G103" s="12"/>
      <c r="H103" s="12"/>
      <c r="I103" s="12"/>
      <c r="J103" s="12"/>
      <c r="K103" s="12"/>
      <c r="L103" s="13"/>
      <c r="M103" s="30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2" t="str">
        <f>IFERROR(__xludf.DUMMYFUNCTION("IF(Account!$F103&lt;&gt;"""", VALUE(REGEXREPLACE($I103, ""\,"", ""."")), """")"),"")</f>
        <v/>
      </c>
      <c r="O103" s="33" t="str">
        <f>IF(Account!$F103&lt;&gt;"", DATEVALUE(MID($A103,4,3) &amp; LEFT($A103,3) &amp; RIGHT($A103,4)) + TIMEVALUE($B103), "")</f>
        <v/>
      </c>
      <c r="P103" s="34" t="str">
        <f>IF(Account!$F103&lt;&gt;"", DATEVALUE(MID($C103,4,3) &amp; LEFT($C103,3) &amp; RIGHT($C103,4)), "")</f>
        <v/>
      </c>
      <c r="Q103" s="35" t="str">
        <f t="array" ref="Q103">IF($R103&lt;&gt;"",IFERROR(INDEX(ISIN!$B:$B,MATCH($R103,ISIN!$C:$C,0))),)</f>
        <v/>
      </c>
      <c r="R103" s="36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5" t="str">
        <f t="shared" si="1"/>
        <v/>
      </c>
      <c r="T103" s="37" t="str">
        <f t="shared" si="2"/>
        <v/>
      </c>
      <c r="U103" s="38" t="str">
        <f t="shared" si="3"/>
        <v/>
      </c>
      <c r="V103" s="32" t="str">
        <f t="shared" si="4"/>
        <v/>
      </c>
      <c r="W103" s="39" t="str">
        <f>IFERROR(__xludf.DUMMYFUNCTION(" IF(Account!$F103&lt;&gt;"""", SPLIT(Account!$F103, "" ""), """")"),"")</f>
        <v/>
      </c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</row>
    <row r="104">
      <c r="A104" s="12"/>
      <c r="B104" s="12"/>
      <c r="C104" s="12"/>
      <c r="D104" s="12"/>
      <c r="E104" s="12"/>
      <c r="F104" s="13"/>
      <c r="G104" s="12"/>
      <c r="H104" s="12"/>
      <c r="I104" s="12"/>
      <c r="J104" s="12"/>
      <c r="K104" s="12"/>
      <c r="L104" s="13"/>
      <c r="M104" s="30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2" t="str">
        <f>IFERROR(__xludf.DUMMYFUNCTION("IF(Account!$F104&lt;&gt;"""", VALUE(REGEXREPLACE($I104, ""\,"", ""."")), """")"),"")</f>
        <v/>
      </c>
      <c r="O104" s="33" t="str">
        <f>IF(Account!$F104&lt;&gt;"", DATEVALUE(MID($A104,4,3) &amp; LEFT($A104,3) &amp; RIGHT($A104,4)) + TIMEVALUE($B104), "")</f>
        <v/>
      </c>
      <c r="P104" s="34" t="str">
        <f>IF(Account!$F104&lt;&gt;"", DATEVALUE(MID($C104,4,3) &amp; LEFT($C104,3) &amp; RIGHT($C104,4)), "")</f>
        <v/>
      </c>
      <c r="Q104" s="35" t="str">
        <f t="array" ref="Q104">IF($R104&lt;&gt;"",IFERROR(INDEX(ISIN!$B:$B,MATCH($R104,ISIN!$C:$C,0))),)</f>
        <v/>
      </c>
      <c r="R104" s="36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5" t="str">
        <f t="shared" si="1"/>
        <v/>
      </c>
      <c r="T104" s="37" t="str">
        <f t="shared" si="2"/>
        <v/>
      </c>
      <c r="U104" s="38" t="str">
        <f t="shared" si="3"/>
        <v/>
      </c>
      <c r="V104" s="32" t="str">
        <f t="shared" si="4"/>
        <v/>
      </c>
      <c r="W104" s="39" t="str">
        <f>IFERROR(__xludf.DUMMYFUNCTION(" IF(Account!$F104&lt;&gt;"""", SPLIT(Account!$F104, "" ""), """")"),"")</f>
        <v/>
      </c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</row>
    <row r="105">
      <c r="A105" s="12"/>
      <c r="B105" s="12"/>
      <c r="C105" s="12"/>
      <c r="D105" s="12"/>
      <c r="E105" s="12"/>
      <c r="F105" s="13"/>
      <c r="G105" s="12"/>
      <c r="H105" s="12"/>
      <c r="I105" s="12"/>
      <c r="J105" s="12"/>
      <c r="K105" s="12"/>
      <c r="L105" s="13"/>
      <c r="M105" s="30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2" t="str">
        <f>IFERROR(__xludf.DUMMYFUNCTION("IF(Account!$F105&lt;&gt;"""", VALUE(REGEXREPLACE($I105, ""\,"", ""."")), """")"),"")</f>
        <v/>
      </c>
      <c r="O105" s="33" t="str">
        <f>IF(Account!$F105&lt;&gt;"", DATEVALUE(MID($A105,4,3) &amp; LEFT($A105,3) &amp; RIGHT($A105,4)) + TIMEVALUE($B105), "")</f>
        <v/>
      </c>
      <c r="P105" s="34" t="str">
        <f>IF(Account!$F105&lt;&gt;"", DATEVALUE(MID($C105,4,3) &amp; LEFT($C105,3) &amp; RIGHT($C105,4)), "")</f>
        <v/>
      </c>
      <c r="Q105" s="35" t="str">
        <f t="array" ref="Q105">IF($R105&lt;&gt;"",IFERROR(INDEX(ISIN!$B:$B,MATCH($R105,ISIN!$C:$C,0))),)</f>
        <v/>
      </c>
      <c r="R105" s="36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5" t="str">
        <f t="shared" si="1"/>
        <v/>
      </c>
      <c r="T105" s="37" t="str">
        <f t="shared" si="2"/>
        <v/>
      </c>
      <c r="U105" s="38" t="str">
        <f t="shared" si="3"/>
        <v/>
      </c>
      <c r="V105" s="32" t="str">
        <f t="shared" si="4"/>
        <v/>
      </c>
      <c r="W105" s="39" t="str">
        <f>IFERROR(__xludf.DUMMYFUNCTION(" IF(Account!$F105&lt;&gt;"""", SPLIT(Account!$F105, "" ""), """")"),"")</f>
        <v/>
      </c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</row>
    <row r="106">
      <c r="A106" s="12"/>
      <c r="B106" s="12"/>
      <c r="C106" s="12"/>
      <c r="D106" s="12"/>
      <c r="E106" s="12"/>
      <c r="F106" s="13"/>
      <c r="G106" s="12"/>
      <c r="H106" s="12"/>
      <c r="I106" s="12"/>
      <c r="J106" s="12"/>
      <c r="K106" s="12"/>
      <c r="L106" s="13"/>
      <c r="M106" s="30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2" t="str">
        <f>IFERROR(__xludf.DUMMYFUNCTION("IF(Account!$F106&lt;&gt;"""", VALUE(REGEXREPLACE($I106, ""\,"", ""."")), """")"),"")</f>
        <v/>
      </c>
      <c r="O106" s="33" t="str">
        <f>IF(Account!$F106&lt;&gt;"", DATEVALUE(MID($A106,4,3) &amp; LEFT($A106,3) &amp; RIGHT($A106,4)) + TIMEVALUE($B106), "")</f>
        <v/>
      </c>
      <c r="P106" s="34" t="str">
        <f>IF(Account!$F106&lt;&gt;"", DATEVALUE(MID($C106,4,3) &amp; LEFT($C106,3) &amp; RIGHT($C106,4)), "")</f>
        <v/>
      </c>
      <c r="Q106" s="35" t="str">
        <f t="array" ref="Q106">IF($R106&lt;&gt;"",IFERROR(INDEX(ISIN!$B:$B,MATCH($R106,ISIN!$C:$C,0))),)</f>
        <v/>
      </c>
      <c r="R106" s="36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5" t="str">
        <f t="shared" si="1"/>
        <v/>
      </c>
      <c r="T106" s="37" t="str">
        <f t="shared" si="2"/>
        <v/>
      </c>
      <c r="U106" s="38" t="str">
        <f t="shared" si="3"/>
        <v/>
      </c>
      <c r="V106" s="32" t="str">
        <f t="shared" si="4"/>
        <v/>
      </c>
      <c r="W106" s="39" t="str">
        <f>IFERROR(__xludf.DUMMYFUNCTION(" IF(Account!$F106&lt;&gt;"""", SPLIT(Account!$F106, "" ""), """")"),"")</f>
        <v/>
      </c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</row>
    <row r="107">
      <c r="A107" s="12"/>
      <c r="B107" s="12"/>
      <c r="C107" s="12"/>
      <c r="D107" s="12"/>
      <c r="E107" s="12"/>
      <c r="F107" s="13"/>
      <c r="G107" s="12"/>
      <c r="H107" s="12"/>
      <c r="I107" s="12"/>
      <c r="J107" s="12"/>
      <c r="K107" s="12"/>
      <c r="L107" s="13"/>
      <c r="M107" s="30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2" t="str">
        <f>IFERROR(__xludf.DUMMYFUNCTION("IF(Account!$F107&lt;&gt;"""", VALUE(REGEXREPLACE($I107, ""\,"", ""."")), """")"),"")</f>
        <v/>
      </c>
      <c r="O107" s="33" t="str">
        <f>IF(Account!$F107&lt;&gt;"", DATEVALUE(MID($A107,4,3) &amp; LEFT($A107,3) &amp; RIGHT($A107,4)) + TIMEVALUE($B107), "")</f>
        <v/>
      </c>
      <c r="P107" s="34" t="str">
        <f>IF(Account!$F107&lt;&gt;"", DATEVALUE(MID($C107,4,3) &amp; LEFT($C107,3) &amp; RIGHT($C107,4)), "")</f>
        <v/>
      </c>
      <c r="Q107" s="35" t="str">
        <f t="array" ref="Q107">IF($R107&lt;&gt;"",IFERROR(INDEX(ISIN!$B:$B,MATCH($R107,ISIN!$C:$C,0))),)</f>
        <v/>
      </c>
      <c r="R107" s="36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5" t="str">
        <f t="shared" si="1"/>
        <v/>
      </c>
      <c r="T107" s="37" t="str">
        <f t="shared" si="2"/>
        <v/>
      </c>
      <c r="U107" s="38" t="str">
        <f t="shared" si="3"/>
        <v/>
      </c>
      <c r="V107" s="32" t="str">
        <f t="shared" si="4"/>
        <v/>
      </c>
      <c r="W107" s="39" t="str">
        <f>IFERROR(__xludf.DUMMYFUNCTION(" IF(Account!$F107&lt;&gt;"""", SPLIT(Account!$F107, "" ""), """")"),"")</f>
        <v/>
      </c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</row>
    <row r="108">
      <c r="A108" s="12"/>
      <c r="B108" s="12"/>
      <c r="C108" s="12"/>
      <c r="D108" s="12"/>
      <c r="E108" s="12"/>
      <c r="F108" s="13"/>
      <c r="G108" s="12"/>
      <c r="H108" s="12"/>
      <c r="I108" s="12"/>
      <c r="J108" s="12"/>
      <c r="K108" s="12"/>
      <c r="L108" s="13"/>
      <c r="M108" s="30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2" t="str">
        <f>IFERROR(__xludf.DUMMYFUNCTION("IF(Account!$F108&lt;&gt;"""", VALUE(REGEXREPLACE($I108, ""\,"", ""."")), """")"),"")</f>
        <v/>
      </c>
      <c r="O108" s="33" t="str">
        <f>IF(Account!$F108&lt;&gt;"", DATEVALUE(MID($A108,4,3) &amp; LEFT($A108,3) &amp; RIGHT($A108,4)) + TIMEVALUE($B108), "")</f>
        <v/>
      </c>
      <c r="P108" s="34" t="str">
        <f>IF(Account!$F108&lt;&gt;"", DATEVALUE(MID($C108,4,3) &amp; LEFT($C108,3) &amp; RIGHT($C108,4)), "")</f>
        <v/>
      </c>
      <c r="Q108" s="35" t="str">
        <f t="array" ref="Q108">IF($R108&lt;&gt;"",IFERROR(INDEX(ISIN!$B:$B,MATCH($R108,ISIN!$C:$C,0))),)</f>
        <v/>
      </c>
      <c r="R108" s="36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5" t="str">
        <f t="shared" si="1"/>
        <v/>
      </c>
      <c r="T108" s="37" t="str">
        <f t="shared" si="2"/>
        <v/>
      </c>
      <c r="U108" s="38" t="str">
        <f t="shared" si="3"/>
        <v/>
      </c>
      <c r="V108" s="32" t="str">
        <f t="shared" si="4"/>
        <v/>
      </c>
      <c r="W108" s="39" t="str">
        <f>IFERROR(__xludf.DUMMYFUNCTION(" IF(Account!$F108&lt;&gt;"""", SPLIT(Account!$F108, "" ""), """")"),"")</f>
        <v/>
      </c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</row>
    <row r="109">
      <c r="A109" s="12"/>
      <c r="B109" s="12"/>
      <c r="C109" s="12"/>
      <c r="D109" s="12"/>
      <c r="E109" s="12"/>
      <c r="F109" s="13"/>
      <c r="G109" s="12"/>
      <c r="H109" s="12"/>
      <c r="I109" s="12"/>
      <c r="J109" s="12"/>
      <c r="K109" s="12"/>
      <c r="L109" s="13"/>
      <c r="M109" s="30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2" t="str">
        <f>IFERROR(__xludf.DUMMYFUNCTION("IF(Account!$F109&lt;&gt;"""", VALUE(REGEXREPLACE($I109, ""\,"", ""."")), """")"),"")</f>
        <v/>
      </c>
      <c r="O109" s="33" t="str">
        <f>IF(Account!$F109&lt;&gt;"", DATEVALUE(MID($A109,4,3) &amp; LEFT($A109,3) &amp; RIGHT($A109,4)) + TIMEVALUE($B109), "")</f>
        <v/>
      </c>
      <c r="P109" s="34" t="str">
        <f>IF(Account!$F109&lt;&gt;"", DATEVALUE(MID($C109,4,3) &amp; LEFT($C109,3) &amp; RIGHT($C109,4)), "")</f>
        <v/>
      </c>
      <c r="Q109" s="35" t="str">
        <f t="array" ref="Q109">IF($R109&lt;&gt;"",IFERROR(INDEX(ISIN!$B:$B,MATCH($R109,ISIN!$C:$C,0))),)</f>
        <v/>
      </c>
      <c r="R109" s="36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5" t="str">
        <f t="shared" si="1"/>
        <v/>
      </c>
      <c r="T109" s="37" t="str">
        <f t="shared" si="2"/>
        <v/>
      </c>
      <c r="U109" s="38" t="str">
        <f t="shared" si="3"/>
        <v/>
      </c>
      <c r="V109" s="32" t="str">
        <f t="shared" si="4"/>
        <v/>
      </c>
      <c r="W109" s="39" t="str">
        <f>IFERROR(__xludf.DUMMYFUNCTION(" IF(Account!$F109&lt;&gt;"""", SPLIT(Account!$F109, "" ""), """")"),"")</f>
        <v/>
      </c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</row>
    <row r="110">
      <c r="A110" s="12"/>
      <c r="B110" s="12"/>
      <c r="C110" s="12"/>
      <c r="D110" s="12"/>
      <c r="E110" s="12"/>
      <c r="F110" s="13"/>
      <c r="G110" s="12"/>
      <c r="H110" s="12"/>
      <c r="I110" s="12"/>
      <c r="J110" s="12"/>
      <c r="K110" s="12"/>
      <c r="L110" s="13"/>
      <c r="M110" s="30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2" t="str">
        <f>IFERROR(__xludf.DUMMYFUNCTION("IF(Account!$F110&lt;&gt;"""", VALUE(REGEXREPLACE($I110, ""\,"", ""."")), """")"),"")</f>
        <v/>
      </c>
      <c r="O110" s="33" t="str">
        <f>IF(Account!$F110&lt;&gt;"", DATEVALUE(MID($A110,4,3) &amp; LEFT($A110,3) &amp; RIGHT($A110,4)) + TIMEVALUE($B110), "")</f>
        <v/>
      </c>
      <c r="P110" s="34" t="str">
        <f>IF(Account!$F110&lt;&gt;"", DATEVALUE(MID($C110,4,3) &amp; LEFT($C110,3) &amp; RIGHT($C110,4)), "")</f>
        <v/>
      </c>
      <c r="Q110" s="35" t="str">
        <f t="array" ref="Q110">IF($R110&lt;&gt;"",IFERROR(INDEX(ISIN!$B:$B,MATCH($R110,ISIN!$C:$C,0))),)</f>
        <v/>
      </c>
      <c r="R110" s="36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5" t="str">
        <f t="shared" si="1"/>
        <v/>
      </c>
      <c r="T110" s="37" t="str">
        <f t="shared" si="2"/>
        <v/>
      </c>
      <c r="U110" s="38" t="str">
        <f t="shared" si="3"/>
        <v/>
      </c>
      <c r="V110" s="32" t="str">
        <f t="shared" si="4"/>
        <v/>
      </c>
      <c r="W110" s="39" t="str">
        <f>IFERROR(__xludf.DUMMYFUNCTION(" IF(Account!$F110&lt;&gt;"""", SPLIT(Account!$F110, "" ""), """")"),"")</f>
        <v/>
      </c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</row>
    <row r="111">
      <c r="A111" s="12"/>
      <c r="B111" s="12"/>
      <c r="C111" s="12"/>
      <c r="D111" s="12"/>
      <c r="E111" s="12"/>
      <c r="F111" s="13"/>
      <c r="G111" s="12"/>
      <c r="H111" s="12"/>
      <c r="I111" s="12"/>
      <c r="J111" s="12"/>
      <c r="K111" s="12"/>
      <c r="L111" s="13"/>
      <c r="M111" s="30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2" t="str">
        <f>IFERROR(__xludf.DUMMYFUNCTION("IF(Account!$F111&lt;&gt;"""", VALUE(REGEXREPLACE($I111, ""\,"", ""."")), """")"),"")</f>
        <v/>
      </c>
      <c r="O111" s="33" t="str">
        <f>IF(Account!$F111&lt;&gt;"", DATEVALUE(MID($A111,4,3) &amp; LEFT($A111,3) &amp; RIGHT($A111,4)) + TIMEVALUE($B111), "")</f>
        <v/>
      </c>
      <c r="P111" s="34" t="str">
        <f>IF(Account!$F111&lt;&gt;"", DATEVALUE(MID($C111,4,3) &amp; LEFT($C111,3) &amp; RIGHT($C111,4)), "")</f>
        <v/>
      </c>
      <c r="Q111" s="35" t="str">
        <f t="array" ref="Q111">IF($R111&lt;&gt;"",IFERROR(INDEX(ISIN!$B:$B,MATCH($R111,ISIN!$C:$C,0))),)</f>
        <v/>
      </c>
      <c r="R111" s="36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5" t="str">
        <f t="shared" si="1"/>
        <v/>
      </c>
      <c r="T111" s="37" t="str">
        <f t="shared" si="2"/>
        <v/>
      </c>
      <c r="U111" s="38" t="str">
        <f t="shared" si="3"/>
        <v/>
      </c>
      <c r="V111" s="32" t="str">
        <f t="shared" si="4"/>
        <v/>
      </c>
      <c r="W111" s="39" t="str">
        <f>IFERROR(__xludf.DUMMYFUNCTION(" IF(Account!$F111&lt;&gt;"""", SPLIT(Account!$F111, "" ""), """")"),"")</f>
        <v/>
      </c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</row>
    <row r="112">
      <c r="A112" s="12"/>
      <c r="B112" s="12"/>
      <c r="C112" s="12"/>
      <c r="D112" s="12"/>
      <c r="E112" s="12"/>
      <c r="F112" s="13"/>
      <c r="G112" s="12"/>
      <c r="H112" s="12"/>
      <c r="I112" s="12"/>
      <c r="J112" s="12"/>
      <c r="K112" s="12"/>
      <c r="L112" s="13"/>
      <c r="M112" s="30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2" t="str">
        <f>IFERROR(__xludf.DUMMYFUNCTION("IF(Account!$F112&lt;&gt;"""", VALUE(REGEXREPLACE($I112, ""\,"", ""."")), """")"),"")</f>
        <v/>
      </c>
      <c r="O112" s="33" t="str">
        <f>IF(Account!$F112&lt;&gt;"", DATEVALUE(MID($A112,4,3) &amp; LEFT($A112,3) &amp; RIGHT($A112,4)) + TIMEVALUE($B112), "")</f>
        <v/>
      </c>
      <c r="P112" s="34" t="str">
        <f>IF(Account!$F112&lt;&gt;"", DATEVALUE(MID($C112,4,3) &amp; LEFT($C112,3) &amp; RIGHT($C112,4)), "")</f>
        <v/>
      </c>
      <c r="Q112" s="35" t="str">
        <f t="array" ref="Q112">IF($R112&lt;&gt;"",IFERROR(INDEX(ISIN!$B:$B,MATCH($R112,ISIN!$C:$C,0))),)</f>
        <v/>
      </c>
      <c r="R112" s="36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5" t="str">
        <f t="shared" si="1"/>
        <v/>
      </c>
      <c r="T112" s="37" t="str">
        <f t="shared" si="2"/>
        <v/>
      </c>
      <c r="U112" s="38" t="str">
        <f t="shared" si="3"/>
        <v/>
      </c>
      <c r="V112" s="32" t="str">
        <f t="shared" si="4"/>
        <v/>
      </c>
      <c r="W112" s="39" t="str">
        <f>IFERROR(__xludf.DUMMYFUNCTION(" IF(Account!$F112&lt;&gt;"""", SPLIT(Account!$F112, "" ""), """")"),"")</f>
        <v/>
      </c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</row>
    <row r="113">
      <c r="A113" s="12"/>
      <c r="B113" s="12"/>
      <c r="C113" s="12"/>
      <c r="D113" s="12"/>
      <c r="E113" s="12"/>
      <c r="F113" s="13"/>
      <c r="G113" s="12"/>
      <c r="H113" s="12"/>
      <c r="I113" s="12"/>
      <c r="J113" s="12"/>
      <c r="K113" s="12"/>
      <c r="L113" s="13"/>
      <c r="M113" s="30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2" t="str">
        <f>IFERROR(__xludf.DUMMYFUNCTION("IF(Account!$F113&lt;&gt;"""", VALUE(REGEXREPLACE($I113, ""\,"", ""."")), """")"),"")</f>
        <v/>
      </c>
      <c r="O113" s="33" t="str">
        <f>IF(Account!$F113&lt;&gt;"", DATEVALUE(MID($A113,4,3) &amp; LEFT($A113,3) &amp; RIGHT($A113,4)) + TIMEVALUE($B113), "")</f>
        <v/>
      </c>
      <c r="P113" s="34" t="str">
        <f>IF(Account!$F113&lt;&gt;"", DATEVALUE(MID($C113,4,3) &amp; LEFT($C113,3) &amp; RIGHT($C113,4)), "")</f>
        <v/>
      </c>
      <c r="Q113" s="35" t="str">
        <f t="array" ref="Q113">IF($R113&lt;&gt;"",IFERROR(INDEX(ISIN!$B:$B,MATCH($R113,ISIN!$C:$C,0))),)</f>
        <v/>
      </c>
      <c r="R113" s="36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5" t="str">
        <f t="shared" si="1"/>
        <v/>
      </c>
      <c r="T113" s="37" t="str">
        <f t="shared" si="2"/>
        <v/>
      </c>
      <c r="U113" s="38" t="str">
        <f t="shared" si="3"/>
        <v/>
      </c>
      <c r="V113" s="32" t="str">
        <f t="shared" si="4"/>
        <v/>
      </c>
      <c r="W113" s="39" t="str">
        <f>IFERROR(__xludf.DUMMYFUNCTION(" IF(Account!$F113&lt;&gt;"""", SPLIT(Account!$F113, "" ""), """")"),"")</f>
        <v/>
      </c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</row>
    <row r="114">
      <c r="A114" s="12"/>
      <c r="B114" s="12"/>
      <c r="C114" s="12"/>
      <c r="D114" s="12"/>
      <c r="E114" s="12"/>
      <c r="F114" s="13"/>
      <c r="G114" s="12"/>
      <c r="H114" s="12"/>
      <c r="I114" s="12"/>
      <c r="J114" s="12"/>
      <c r="K114" s="12"/>
      <c r="L114" s="13"/>
      <c r="M114" s="30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2" t="str">
        <f>IFERROR(__xludf.DUMMYFUNCTION("IF(Account!$F114&lt;&gt;"""", VALUE(REGEXREPLACE($I114, ""\,"", ""."")), """")"),"")</f>
        <v/>
      </c>
      <c r="O114" s="33" t="str">
        <f>IF(Account!$F114&lt;&gt;"", DATEVALUE(MID($A114,4,3) &amp; LEFT($A114,3) &amp; RIGHT($A114,4)) + TIMEVALUE($B114), "")</f>
        <v/>
      </c>
      <c r="P114" s="34" t="str">
        <f>IF(Account!$F114&lt;&gt;"", DATEVALUE(MID($C114,4,3) &amp; LEFT($C114,3) &amp; RIGHT($C114,4)), "")</f>
        <v/>
      </c>
      <c r="Q114" s="35" t="str">
        <f t="array" ref="Q114">IF($R114&lt;&gt;"",IFERROR(INDEX(ISIN!$B:$B,MATCH($R114,ISIN!$C:$C,0))),)</f>
        <v/>
      </c>
      <c r="R114" s="36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5" t="str">
        <f t="shared" si="1"/>
        <v/>
      </c>
      <c r="T114" s="37" t="str">
        <f t="shared" si="2"/>
        <v/>
      </c>
      <c r="U114" s="38" t="str">
        <f t="shared" si="3"/>
        <v/>
      </c>
      <c r="V114" s="32" t="str">
        <f t="shared" si="4"/>
        <v/>
      </c>
      <c r="W114" s="39" t="str">
        <f>IFERROR(__xludf.DUMMYFUNCTION(" IF(Account!$F114&lt;&gt;"""", SPLIT(Account!$F114, "" ""), """")"),"")</f>
        <v/>
      </c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</row>
    <row r="115">
      <c r="A115" s="12"/>
      <c r="B115" s="12"/>
      <c r="C115" s="12"/>
      <c r="D115" s="12"/>
      <c r="E115" s="12"/>
      <c r="F115" s="13"/>
      <c r="G115" s="12"/>
      <c r="H115" s="12"/>
      <c r="I115" s="12"/>
      <c r="J115" s="12"/>
      <c r="K115" s="12"/>
      <c r="L115" s="13"/>
      <c r="M115" s="30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2" t="str">
        <f>IFERROR(__xludf.DUMMYFUNCTION("IF(Account!$F115&lt;&gt;"""", VALUE(REGEXREPLACE($I115, ""\,"", ""."")), """")"),"")</f>
        <v/>
      </c>
      <c r="O115" s="33" t="str">
        <f>IF(Account!$F115&lt;&gt;"", DATEVALUE(MID($A115,4,3) &amp; LEFT($A115,3) &amp; RIGHT($A115,4)) + TIMEVALUE($B115), "")</f>
        <v/>
      </c>
      <c r="P115" s="34" t="str">
        <f>IF(Account!$F115&lt;&gt;"", DATEVALUE(MID($C115,4,3) &amp; LEFT($C115,3) &amp; RIGHT($C115,4)), "")</f>
        <v/>
      </c>
      <c r="Q115" s="35" t="str">
        <f t="array" ref="Q115">IF($R115&lt;&gt;"",IFERROR(INDEX(ISIN!$B:$B,MATCH($R115,ISIN!$C:$C,0))),)</f>
        <v/>
      </c>
      <c r="R115" s="36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5" t="str">
        <f t="shared" si="1"/>
        <v/>
      </c>
      <c r="T115" s="37" t="str">
        <f t="shared" si="2"/>
        <v/>
      </c>
      <c r="U115" s="38" t="str">
        <f t="shared" si="3"/>
        <v/>
      </c>
      <c r="V115" s="32" t="str">
        <f t="shared" si="4"/>
        <v/>
      </c>
      <c r="W115" s="39" t="str">
        <f>IFERROR(__xludf.DUMMYFUNCTION(" IF(Account!$F115&lt;&gt;"""", SPLIT(Account!$F115, "" ""), """")"),"")</f>
        <v/>
      </c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</row>
    <row r="116">
      <c r="A116" s="12"/>
      <c r="B116" s="12"/>
      <c r="C116" s="12"/>
      <c r="D116" s="12"/>
      <c r="E116" s="12"/>
      <c r="F116" s="13"/>
      <c r="G116" s="12"/>
      <c r="H116" s="12"/>
      <c r="I116" s="12"/>
      <c r="J116" s="12"/>
      <c r="K116" s="12"/>
      <c r="L116" s="13"/>
      <c r="M116" s="30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2" t="str">
        <f>IFERROR(__xludf.DUMMYFUNCTION("IF(Account!$F116&lt;&gt;"""", VALUE(REGEXREPLACE($I116, ""\,"", ""."")), """")"),"")</f>
        <v/>
      </c>
      <c r="O116" s="33" t="str">
        <f>IF(Account!$F116&lt;&gt;"", DATEVALUE(MID($A116,4,3) &amp; LEFT($A116,3) &amp; RIGHT($A116,4)) + TIMEVALUE($B116), "")</f>
        <v/>
      </c>
      <c r="P116" s="34" t="str">
        <f>IF(Account!$F116&lt;&gt;"", DATEVALUE(MID($C116,4,3) &amp; LEFT($C116,3) &amp; RIGHT($C116,4)), "")</f>
        <v/>
      </c>
      <c r="Q116" s="35" t="str">
        <f t="array" ref="Q116">IF($R116&lt;&gt;"",IFERROR(INDEX(ISIN!$B:$B,MATCH($R116,ISIN!$C:$C,0))),)</f>
        <v/>
      </c>
      <c r="R116" s="36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5" t="str">
        <f t="shared" si="1"/>
        <v/>
      </c>
      <c r="T116" s="37" t="str">
        <f t="shared" si="2"/>
        <v/>
      </c>
      <c r="U116" s="38" t="str">
        <f t="shared" si="3"/>
        <v/>
      </c>
      <c r="V116" s="32" t="str">
        <f t="shared" si="4"/>
        <v/>
      </c>
      <c r="W116" s="39" t="str">
        <f>IFERROR(__xludf.DUMMYFUNCTION(" IF(Account!$F116&lt;&gt;"""", SPLIT(Account!$F116, "" ""), """")"),"")</f>
        <v/>
      </c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</row>
    <row r="117">
      <c r="A117" s="12"/>
      <c r="B117" s="12"/>
      <c r="C117" s="12"/>
      <c r="D117" s="12"/>
      <c r="E117" s="12"/>
      <c r="F117" s="13"/>
      <c r="G117" s="12"/>
      <c r="H117" s="12"/>
      <c r="I117" s="12"/>
      <c r="J117" s="12"/>
      <c r="K117" s="12"/>
      <c r="L117" s="13"/>
      <c r="M117" s="30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2" t="str">
        <f>IFERROR(__xludf.DUMMYFUNCTION("IF(Account!$F117&lt;&gt;"""", VALUE(REGEXREPLACE($I117, ""\,"", ""."")), """")"),"")</f>
        <v/>
      </c>
      <c r="O117" s="33" t="str">
        <f>IF(Account!$F117&lt;&gt;"", DATEVALUE(MID($A117,4,3) &amp; LEFT($A117,3) &amp; RIGHT($A117,4)) + TIMEVALUE($B117), "")</f>
        <v/>
      </c>
      <c r="P117" s="34" t="str">
        <f>IF(Account!$F117&lt;&gt;"", DATEVALUE(MID($C117,4,3) &amp; LEFT($C117,3) &amp; RIGHT($C117,4)), "")</f>
        <v/>
      </c>
      <c r="Q117" s="35" t="str">
        <f t="array" ref="Q117">IF($R117&lt;&gt;"",IFERROR(INDEX(ISIN!$B:$B,MATCH($R117,ISIN!$C:$C,0))),)</f>
        <v/>
      </c>
      <c r="R117" s="36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5" t="str">
        <f t="shared" si="1"/>
        <v/>
      </c>
      <c r="T117" s="37" t="str">
        <f t="shared" si="2"/>
        <v/>
      </c>
      <c r="U117" s="38" t="str">
        <f t="shared" si="3"/>
        <v/>
      </c>
      <c r="V117" s="32" t="str">
        <f t="shared" si="4"/>
        <v/>
      </c>
      <c r="W117" s="39" t="str">
        <f>IFERROR(__xludf.DUMMYFUNCTION(" IF(Account!$F117&lt;&gt;"""", SPLIT(Account!$F117, "" ""), """")"),"")</f>
        <v/>
      </c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</row>
    <row r="118">
      <c r="A118" s="12"/>
      <c r="B118" s="12"/>
      <c r="C118" s="12"/>
      <c r="D118" s="12"/>
      <c r="E118" s="12"/>
      <c r="F118" s="13"/>
      <c r="G118" s="12"/>
      <c r="H118" s="12"/>
      <c r="I118" s="12"/>
      <c r="J118" s="12"/>
      <c r="K118" s="12"/>
      <c r="L118" s="13"/>
      <c r="M118" s="30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2" t="str">
        <f>IFERROR(__xludf.DUMMYFUNCTION("IF(Account!$F118&lt;&gt;"""", VALUE(REGEXREPLACE($I118, ""\,"", ""."")), """")"),"")</f>
        <v/>
      </c>
      <c r="O118" s="33" t="str">
        <f>IF(Account!$F118&lt;&gt;"", DATEVALUE(MID($A118,4,3) &amp; LEFT($A118,3) &amp; RIGHT($A118,4)) + TIMEVALUE($B118), "")</f>
        <v/>
      </c>
      <c r="P118" s="34" t="str">
        <f>IF(Account!$F118&lt;&gt;"", DATEVALUE(MID($C118,4,3) &amp; LEFT($C118,3) &amp; RIGHT($C118,4)), "")</f>
        <v/>
      </c>
      <c r="Q118" s="35" t="str">
        <f t="array" ref="Q118">IF($R118&lt;&gt;"",IFERROR(INDEX(ISIN!$B:$B,MATCH($R118,ISIN!$C:$C,0))),)</f>
        <v/>
      </c>
      <c r="R118" s="36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5" t="str">
        <f t="shared" si="1"/>
        <v/>
      </c>
      <c r="T118" s="37" t="str">
        <f t="shared" si="2"/>
        <v/>
      </c>
      <c r="U118" s="38" t="str">
        <f t="shared" si="3"/>
        <v/>
      </c>
      <c r="V118" s="32" t="str">
        <f t="shared" si="4"/>
        <v/>
      </c>
      <c r="W118" s="39" t="str">
        <f>IFERROR(__xludf.DUMMYFUNCTION(" IF(Account!$F118&lt;&gt;"""", SPLIT(Account!$F118, "" ""), """")"),"")</f>
        <v/>
      </c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</row>
    <row r="119">
      <c r="A119" s="12"/>
      <c r="B119" s="12"/>
      <c r="C119" s="12"/>
      <c r="D119" s="12"/>
      <c r="E119" s="12"/>
      <c r="F119" s="13"/>
      <c r="G119" s="12"/>
      <c r="H119" s="12"/>
      <c r="I119" s="12"/>
      <c r="J119" s="12"/>
      <c r="K119" s="12"/>
      <c r="L119" s="13"/>
      <c r="M119" s="30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2" t="str">
        <f>IFERROR(__xludf.DUMMYFUNCTION("IF(Account!$F119&lt;&gt;"""", VALUE(REGEXREPLACE($I119, ""\,"", ""."")), """")"),"")</f>
        <v/>
      </c>
      <c r="O119" s="33" t="str">
        <f>IF(Account!$F119&lt;&gt;"", DATEVALUE(MID($A119,4,3) &amp; LEFT($A119,3) &amp; RIGHT($A119,4)) + TIMEVALUE($B119), "")</f>
        <v/>
      </c>
      <c r="P119" s="34" t="str">
        <f>IF(Account!$F119&lt;&gt;"", DATEVALUE(MID($C119,4,3) &amp; LEFT($C119,3) &amp; RIGHT($C119,4)), "")</f>
        <v/>
      </c>
      <c r="Q119" s="35" t="str">
        <f t="array" ref="Q119">IF($R119&lt;&gt;"",IFERROR(INDEX(ISIN!$B:$B,MATCH($R119,ISIN!$C:$C,0))),)</f>
        <v/>
      </c>
      <c r="R119" s="36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5" t="str">
        <f t="shared" si="1"/>
        <v/>
      </c>
      <c r="T119" s="37" t="str">
        <f t="shared" si="2"/>
        <v/>
      </c>
      <c r="U119" s="38" t="str">
        <f t="shared" si="3"/>
        <v/>
      </c>
      <c r="V119" s="32" t="str">
        <f t="shared" si="4"/>
        <v/>
      </c>
      <c r="W119" s="39" t="str">
        <f>IFERROR(__xludf.DUMMYFUNCTION(" IF(Account!$F119&lt;&gt;"""", SPLIT(Account!$F119, "" ""), """")"),"")</f>
        <v/>
      </c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</row>
    <row r="120">
      <c r="A120" s="12"/>
      <c r="B120" s="12"/>
      <c r="C120" s="12"/>
      <c r="D120" s="12"/>
      <c r="E120" s="12"/>
      <c r="F120" s="13"/>
      <c r="G120" s="12"/>
      <c r="H120" s="12"/>
      <c r="I120" s="12"/>
      <c r="J120" s="12"/>
      <c r="K120" s="12"/>
      <c r="L120" s="13"/>
      <c r="M120" s="30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2" t="str">
        <f>IFERROR(__xludf.DUMMYFUNCTION("IF(Account!$F120&lt;&gt;"""", VALUE(REGEXREPLACE($I120, ""\,"", ""."")), """")"),"")</f>
        <v/>
      </c>
      <c r="O120" s="33" t="str">
        <f>IF(Account!$F120&lt;&gt;"", DATEVALUE(MID($A120,4,3) &amp; LEFT($A120,3) &amp; RIGHT($A120,4)) + TIMEVALUE($B120), "")</f>
        <v/>
      </c>
      <c r="P120" s="34" t="str">
        <f>IF(Account!$F120&lt;&gt;"", DATEVALUE(MID($C120,4,3) &amp; LEFT($C120,3) &amp; RIGHT($C120,4)), "")</f>
        <v/>
      </c>
      <c r="Q120" s="35" t="str">
        <f t="array" ref="Q120">IF($R120&lt;&gt;"",IFERROR(INDEX(ISIN!$B:$B,MATCH($R120,ISIN!$C:$C,0))),)</f>
        <v/>
      </c>
      <c r="R120" s="36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5" t="str">
        <f t="shared" si="1"/>
        <v/>
      </c>
      <c r="T120" s="37" t="str">
        <f t="shared" si="2"/>
        <v/>
      </c>
      <c r="U120" s="38" t="str">
        <f t="shared" si="3"/>
        <v/>
      </c>
      <c r="V120" s="32" t="str">
        <f t="shared" si="4"/>
        <v/>
      </c>
      <c r="W120" s="39" t="str">
        <f>IFERROR(__xludf.DUMMYFUNCTION(" IF(Account!$F120&lt;&gt;"""", SPLIT(Account!$F120, "" ""), """")"),"")</f>
        <v/>
      </c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</row>
    <row r="121">
      <c r="A121" s="12"/>
      <c r="B121" s="12"/>
      <c r="C121" s="12"/>
      <c r="D121" s="12"/>
      <c r="E121" s="12"/>
      <c r="F121" s="13"/>
      <c r="G121" s="12"/>
      <c r="H121" s="12"/>
      <c r="I121" s="12"/>
      <c r="J121" s="12"/>
      <c r="K121" s="12"/>
      <c r="L121" s="13"/>
      <c r="M121" s="30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2" t="str">
        <f>IFERROR(__xludf.DUMMYFUNCTION("IF(Account!$F121&lt;&gt;"""", VALUE(REGEXREPLACE($I121, ""\,"", ""."")), """")"),"")</f>
        <v/>
      </c>
      <c r="O121" s="33" t="str">
        <f>IF(Account!$F121&lt;&gt;"", DATEVALUE(MID($A121,4,3) &amp; LEFT($A121,3) &amp; RIGHT($A121,4)) + TIMEVALUE($B121), "")</f>
        <v/>
      </c>
      <c r="P121" s="34" t="str">
        <f>IF(Account!$F121&lt;&gt;"", DATEVALUE(MID($C121,4,3) &amp; LEFT($C121,3) &amp; RIGHT($C121,4)), "")</f>
        <v/>
      </c>
      <c r="Q121" s="35" t="str">
        <f t="array" ref="Q121">IF($R121&lt;&gt;"",IFERROR(INDEX(ISIN!$B:$B,MATCH($R121,ISIN!$C:$C,0))),)</f>
        <v/>
      </c>
      <c r="R121" s="36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5" t="str">
        <f t="shared" si="1"/>
        <v/>
      </c>
      <c r="T121" s="37" t="str">
        <f t="shared" si="2"/>
        <v/>
      </c>
      <c r="U121" s="38" t="str">
        <f t="shared" si="3"/>
        <v/>
      </c>
      <c r="V121" s="32" t="str">
        <f t="shared" si="4"/>
        <v/>
      </c>
      <c r="W121" s="39" t="str">
        <f>IFERROR(__xludf.DUMMYFUNCTION(" IF(Account!$F121&lt;&gt;"""", SPLIT(Account!$F121, "" ""), """")"),"")</f>
        <v/>
      </c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</row>
    <row r="122">
      <c r="A122" s="12"/>
      <c r="B122" s="12"/>
      <c r="C122" s="12"/>
      <c r="D122" s="12"/>
      <c r="E122" s="12"/>
      <c r="F122" s="13"/>
      <c r="G122" s="12"/>
      <c r="H122" s="12"/>
      <c r="I122" s="12"/>
      <c r="J122" s="12"/>
      <c r="K122" s="12"/>
      <c r="L122" s="13"/>
      <c r="M122" s="30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2" t="str">
        <f>IFERROR(__xludf.DUMMYFUNCTION("IF(Account!$F122&lt;&gt;"""", VALUE(REGEXREPLACE($I122, ""\,"", ""."")), """")"),"")</f>
        <v/>
      </c>
      <c r="O122" s="33" t="str">
        <f>IF(Account!$F122&lt;&gt;"", DATEVALUE(MID($A122,4,3) &amp; LEFT($A122,3) &amp; RIGHT($A122,4)) + TIMEVALUE($B122), "")</f>
        <v/>
      </c>
      <c r="P122" s="34" t="str">
        <f>IF(Account!$F122&lt;&gt;"", DATEVALUE(MID($C122,4,3) &amp; LEFT($C122,3) &amp; RIGHT($C122,4)), "")</f>
        <v/>
      </c>
      <c r="Q122" s="35" t="str">
        <f t="array" ref="Q122">IF($R122&lt;&gt;"",IFERROR(INDEX(ISIN!$B:$B,MATCH($R122,ISIN!$C:$C,0))),)</f>
        <v/>
      </c>
      <c r="R122" s="36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5" t="str">
        <f t="shared" si="1"/>
        <v/>
      </c>
      <c r="T122" s="37" t="str">
        <f t="shared" si="2"/>
        <v/>
      </c>
      <c r="U122" s="38" t="str">
        <f t="shared" si="3"/>
        <v/>
      </c>
      <c r="V122" s="32" t="str">
        <f t="shared" si="4"/>
        <v/>
      </c>
      <c r="W122" s="39" t="str">
        <f>IFERROR(__xludf.DUMMYFUNCTION(" IF(Account!$F122&lt;&gt;"""", SPLIT(Account!$F122, "" ""), """")"),"")</f>
        <v/>
      </c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</row>
    <row r="123">
      <c r="A123" s="12"/>
      <c r="B123" s="12"/>
      <c r="C123" s="12"/>
      <c r="D123" s="12"/>
      <c r="E123" s="12"/>
      <c r="F123" s="13"/>
      <c r="G123" s="12"/>
      <c r="H123" s="12"/>
      <c r="I123" s="12"/>
      <c r="J123" s="12"/>
      <c r="K123" s="12"/>
      <c r="L123" s="13"/>
      <c r="M123" s="30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2" t="str">
        <f>IFERROR(__xludf.DUMMYFUNCTION("IF(Account!$F123&lt;&gt;"""", VALUE(REGEXREPLACE($I123, ""\,"", ""."")), """")"),"")</f>
        <v/>
      </c>
      <c r="O123" s="33" t="str">
        <f>IF(Account!$F123&lt;&gt;"", DATEVALUE(MID($A123,4,3) &amp; LEFT($A123,3) &amp; RIGHT($A123,4)) + TIMEVALUE($B123), "")</f>
        <v/>
      </c>
      <c r="P123" s="34" t="str">
        <f>IF(Account!$F123&lt;&gt;"", DATEVALUE(MID($C123,4,3) &amp; LEFT($C123,3) &amp; RIGHT($C123,4)), "")</f>
        <v/>
      </c>
      <c r="Q123" s="35" t="str">
        <f t="array" ref="Q123">IF($R123&lt;&gt;"",IFERROR(INDEX(ISIN!$B:$B,MATCH($R123,ISIN!$C:$C,0))),)</f>
        <v/>
      </c>
      <c r="R123" s="36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5" t="str">
        <f t="shared" si="1"/>
        <v/>
      </c>
      <c r="T123" s="37" t="str">
        <f t="shared" si="2"/>
        <v/>
      </c>
      <c r="U123" s="38" t="str">
        <f t="shared" si="3"/>
        <v/>
      </c>
      <c r="V123" s="32" t="str">
        <f t="shared" si="4"/>
        <v/>
      </c>
      <c r="W123" s="39" t="str">
        <f>IFERROR(__xludf.DUMMYFUNCTION(" IF(Account!$F123&lt;&gt;"""", SPLIT(Account!$F123, "" ""), """")"),"")</f>
        <v/>
      </c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</row>
    <row r="124">
      <c r="A124" s="12"/>
      <c r="B124" s="12"/>
      <c r="C124" s="12"/>
      <c r="D124" s="12"/>
      <c r="E124" s="12"/>
      <c r="F124" s="13"/>
      <c r="G124" s="12"/>
      <c r="H124" s="12"/>
      <c r="I124" s="12"/>
      <c r="J124" s="12"/>
      <c r="K124" s="12"/>
      <c r="L124" s="13"/>
      <c r="M124" s="30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2" t="str">
        <f>IFERROR(__xludf.DUMMYFUNCTION("IF(Account!$F124&lt;&gt;"""", VALUE(REGEXREPLACE($I124, ""\,"", ""."")), """")"),"")</f>
        <v/>
      </c>
      <c r="O124" s="33" t="str">
        <f>IF(Account!$F124&lt;&gt;"", DATEVALUE(MID($A124,4,3) &amp; LEFT($A124,3) &amp; RIGHT($A124,4)) + TIMEVALUE($B124), "")</f>
        <v/>
      </c>
      <c r="P124" s="34" t="str">
        <f>IF(Account!$F124&lt;&gt;"", DATEVALUE(MID($C124,4,3) &amp; LEFT($C124,3) &amp; RIGHT($C124,4)), "")</f>
        <v/>
      </c>
      <c r="Q124" s="35" t="str">
        <f t="array" ref="Q124">IF($R124&lt;&gt;"",IFERROR(INDEX(ISIN!$B:$B,MATCH($R124,ISIN!$C:$C,0))),)</f>
        <v/>
      </c>
      <c r="R124" s="36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5" t="str">
        <f t="shared" si="1"/>
        <v/>
      </c>
      <c r="T124" s="37" t="str">
        <f t="shared" si="2"/>
        <v/>
      </c>
      <c r="U124" s="38" t="str">
        <f t="shared" si="3"/>
        <v/>
      </c>
      <c r="V124" s="32" t="str">
        <f t="shared" si="4"/>
        <v/>
      </c>
      <c r="W124" s="39" t="str">
        <f>IFERROR(__xludf.DUMMYFUNCTION(" IF(Account!$F124&lt;&gt;"""", SPLIT(Account!$F124, "" ""), """")"),"")</f>
        <v/>
      </c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</row>
    <row r="125">
      <c r="A125" s="12"/>
      <c r="B125" s="12"/>
      <c r="C125" s="12"/>
      <c r="D125" s="12"/>
      <c r="E125" s="12"/>
      <c r="F125" s="13"/>
      <c r="G125" s="12"/>
      <c r="H125" s="12"/>
      <c r="I125" s="12"/>
      <c r="J125" s="12"/>
      <c r="K125" s="12"/>
      <c r="L125" s="13"/>
      <c r="M125" s="30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2" t="str">
        <f>IFERROR(__xludf.DUMMYFUNCTION("IF(Account!$F125&lt;&gt;"""", VALUE(REGEXREPLACE($I125, ""\,"", ""."")), """")"),"")</f>
        <v/>
      </c>
      <c r="O125" s="33" t="str">
        <f>IF(Account!$F125&lt;&gt;"", DATEVALUE(MID($A125,4,3) &amp; LEFT($A125,3) &amp; RIGHT($A125,4)) + TIMEVALUE($B125), "")</f>
        <v/>
      </c>
      <c r="P125" s="34" t="str">
        <f>IF(Account!$F125&lt;&gt;"", DATEVALUE(MID($C125,4,3) &amp; LEFT($C125,3) &amp; RIGHT($C125,4)), "")</f>
        <v/>
      </c>
      <c r="Q125" s="35" t="str">
        <f t="array" ref="Q125">IF($R125&lt;&gt;"",IFERROR(INDEX(ISIN!$B:$B,MATCH($R125,ISIN!$C:$C,0))),)</f>
        <v/>
      </c>
      <c r="R125" s="36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5" t="str">
        <f t="shared" si="1"/>
        <v/>
      </c>
      <c r="T125" s="37" t="str">
        <f t="shared" si="2"/>
        <v/>
      </c>
      <c r="U125" s="38" t="str">
        <f t="shared" si="3"/>
        <v/>
      </c>
      <c r="V125" s="32" t="str">
        <f t="shared" si="4"/>
        <v/>
      </c>
      <c r="W125" s="39" t="str">
        <f>IFERROR(__xludf.DUMMYFUNCTION(" IF(Account!$F125&lt;&gt;"""", SPLIT(Account!$F125, "" ""), """")"),"")</f>
        <v/>
      </c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</row>
    <row r="126">
      <c r="A126" s="12"/>
      <c r="B126" s="12"/>
      <c r="C126" s="12"/>
      <c r="D126" s="12"/>
      <c r="E126" s="12"/>
      <c r="F126" s="13"/>
      <c r="G126" s="12"/>
      <c r="H126" s="12"/>
      <c r="I126" s="12"/>
      <c r="J126" s="12"/>
      <c r="K126" s="12"/>
      <c r="L126" s="13"/>
      <c r="M126" s="30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2" t="str">
        <f>IFERROR(__xludf.DUMMYFUNCTION("IF(Account!$F126&lt;&gt;"""", VALUE(REGEXREPLACE($I126, ""\,"", ""."")), """")"),"")</f>
        <v/>
      </c>
      <c r="O126" s="33" t="str">
        <f>IF(Account!$F126&lt;&gt;"", DATEVALUE(MID($A126,4,3) &amp; LEFT($A126,3) &amp; RIGHT($A126,4)) + TIMEVALUE($B126), "")</f>
        <v/>
      </c>
      <c r="P126" s="34" t="str">
        <f>IF(Account!$F126&lt;&gt;"", DATEVALUE(MID($C126,4,3) &amp; LEFT($C126,3) &amp; RIGHT($C126,4)), "")</f>
        <v/>
      </c>
      <c r="Q126" s="35" t="str">
        <f t="array" ref="Q126">IF($R126&lt;&gt;"",IFERROR(INDEX(ISIN!$B:$B,MATCH($R126,ISIN!$C:$C,0))),)</f>
        <v/>
      </c>
      <c r="R126" s="36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5" t="str">
        <f t="shared" si="1"/>
        <v/>
      </c>
      <c r="T126" s="37" t="str">
        <f t="shared" si="2"/>
        <v/>
      </c>
      <c r="U126" s="38" t="str">
        <f t="shared" si="3"/>
        <v/>
      </c>
      <c r="V126" s="32" t="str">
        <f t="shared" si="4"/>
        <v/>
      </c>
      <c r="W126" s="39" t="str">
        <f>IFERROR(__xludf.DUMMYFUNCTION(" IF(Account!$F126&lt;&gt;"""", SPLIT(Account!$F126, "" ""), """")"),"")</f>
        <v/>
      </c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</row>
    <row r="127">
      <c r="A127" s="12"/>
      <c r="B127" s="12"/>
      <c r="C127" s="12"/>
      <c r="D127" s="12"/>
      <c r="E127" s="12"/>
      <c r="F127" s="13"/>
      <c r="G127" s="12"/>
      <c r="H127" s="12"/>
      <c r="I127" s="12"/>
      <c r="J127" s="12"/>
      <c r="K127" s="12"/>
      <c r="L127" s="13"/>
      <c r="M127" s="30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2" t="str">
        <f>IFERROR(__xludf.DUMMYFUNCTION("IF(Account!$F127&lt;&gt;"""", VALUE(REGEXREPLACE($I127, ""\,"", ""."")), """")"),"")</f>
        <v/>
      </c>
      <c r="O127" s="33" t="str">
        <f>IF(Account!$F127&lt;&gt;"", DATEVALUE(MID($A127,4,3) &amp; LEFT($A127,3) &amp; RIGHT($A127,4)) + TIMEVALUE($B127), "")</f>
        <v/>
      </c>
      <c r="P127" s="34" t="str">
        <f>IF(Account!$F127&lt;&gt;"", DATEVALUE(MID($C127,4,3) &amp; LEFT($C127,3) &amp; RIGHT($C127,4)), "")</f>
        <v/>
      </c>
      <c r="Q127" s="35" t="str">
        <f t="array" ref="Q127">IF($R127&lt;&gt;"",IFERROR(INDEX(ISIN!$B:$B,MATCH($R127,ISIN!$C:$C,0))),)</f>
        <v/>
      </c>
      <c r="R127" s="36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5" t="str">
        <f t="shared" si="1"/>
        <v/>
      </c>
      <c r="T127" s="37" t="str">
        <f t="shared" si="2"/>
        <v/>
      </c>
      <c r="U127" s="38" t="str">
        <f t="shared" si="3"/>
        <v/>
      </c>
      <c r="V127" s="32" t="str">
        <f t="shared" si="4"/>
        <v/>
      </c>
      <c r="W127" s="39" t="str">
        <f>IFERROR(__xludf.DUMMYFUNCTION(" IF(Account!$F127&lt;&gt;"""", SPLIT(Account!$F127, "" ""), """")"),"")</f>
        <v/>
      </c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</row>
    <row r="128">
      <c r="A128" s="12"/>
      <c r="B128" s="12"/>
      <c r="C128" s="12"/>
      <c r="D128" s="12"/>
      <c r="E128" s="12"/>
      <c r="F128" s="13"/>
      <c r="G128" s="12"/>
      <c r="H128" s="12"/>
      <c r="I128" s="12"/>
      <c r="J128" s="12"/>
      <c r="K128" s="12"/>
      <c r="L128" s="13"/>
      <c r="M128" s="30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2" t="str">
        <f>IFERROR(__xludf.DUMMYFUNCTION("IF(Account!$F128&lt;&gt;"""", VALUE(REGEXREPLACE($I128, ""\,"", ""."")), """")"),"")</f>
        <v/>
      </c>
      <c r="O128" s="33" t="str">
        <f>IF(Account!$F128&lt;&gt;"", DATEVALUE(MID($A128,4,3) &amp; LEFT($A128,3) &amp; RIGHT($A128,4)) + TIMEVALUE($B128), "")</f>
        <v/>
      </c>
      <c r="P128" s="34" t="str">
        <f>IF(Account!$F128&lt;&gt;"", DATEVALUE(MID($C128,4,3) &amp; LEFT($C128,3) &amp; RIGHT($C128,4)), "")</f>
        <v/>
      </c>
      <c r="Q128" s="35" t="str">
        <f t="array" ref="Q128">IF($R128&lt;&gt;"",IFERROR(INDEX(ISIN!$B:$B,MATCH($R128,ISIN!$C:$C,0))),)</f>
        <v/>
      </c>
      <c r="R128" s="36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5" t="str">
        <f t="shared" si="1"/>
        <v/>
      </c>
      <c r="T128" s="37" t="str">
        <f t="shared" si="2"/>
        <v/>
      </c>
      <c r="U128" s="38" t="str">
        <f t="shared" si="3"/>
        <v/>
      </c>
      <c r="V128" s="32" t="str">
        <f t="shared" si="4"/>
        <v/>
      </c>
      <c r="W128" s="39" t="str">
        <f>IFERROR(__xludf.DUMMYFUNCTION(" IF(Account!$F128&lt;&gt;"""", SPLIT(Account!$F128, "" ""), """")"),"")</f>
        <v/>
      </c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</row>
    <row r="129">
      <c r="A129" s="12"/>
      <c r="B129" s="12"/>
      <c r="C129" s="12"/>
      <c r="D129" s="12"/>
      <c r="E129" s="12"/>
      <c r="F129" s="13"/>
      <c r="G129" s="12"/>
      <c r="H129" s="12"/>
      <c r="I129" s="12"/>
      <c r="J129" s="12"/>
      <c r="K129" s="12"/>
      <c r="L129" s="13"/>
      <c r="M129" s="30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2" t="str">
        <f>IFERROR(__xludf.DUMMYFUNCTION("IF(Account!$F129&lt;&gt;"""", VALUE(REGEXREPLACE($I129, ""\,"", ""."")), """")"),"")</f>
        <v/>
      </c>
      <c r="O129" s="33" t="str">
        <f>IF(Account!$F129&lt;&gt;"", DATEVALUE(MID($A129,4,3) &amp; LEFT($A129,3) &amp; RIGHT($A129,4)) + TIMEVALUE($B129), "")</f>
        <v/>
      </c>
      <c r="P129" s="34" t="str">
        <f>IF(Account!$F129&lt;&gt;"", DATEVALUE(MID($C129,4,3) &amp; LEFT($C129,3) &amp; RIGHT($C129,4)), "")</f>
        <v/>
      </c>
      <c r="Q129" s="35" t="str">
        <f t="array" ref="Q129">IF($R129&lt;&gt;"",IFERROR(INDEX(ISIN!$B:$B,MATCH($R129,ISIN!$C:$C,0))),)</f>
        <v/>
      </c>
      <c r="R129" s="36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5" t="str">
        <f t="shared" si="1"/>
        <v/>
      </c>
      <c r="T129" s="37" t="str">
        <f t="shared" si="2"/>
        <v/>
      </c>
      <c r="U129" s="38" t="str">
        <f t="shared" si="3"/>
        <v/>
      </c>
      <c r="V129" s="32" t="str">
        <f t="shared" si="4"/>
        <v/>
      </c>
      <c r="W129" s="39" t="str">
        <f>IFERROR(__xludf.DUMMYFUNCTION(" IF(Account!$F129&lt;&gt;"""", SPLIT(Account!$F129, "" ""), """")"),"")</f>
        <v/>
      </c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</row>
    <row r="130">
      <c r="A130" s="12"/>
      <c r="B130" s="12"/>
      <c r="C130" s="12"/>
      <c r="D130" s="12"/>
      <c r="E130" s="12"/>
      <c r="F130" s="13"/>
      <c r="G130" s="12"/>
      <c r="H130" s="12"/>
      <c r="I130" s="12"/>
      <c r="J130" s="12"/>
      <c r="K130" s="12"/>
      <c r="L130" s="13"/>
      <c r="M130" s="30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2" t="str">
        <f>IFERROR(__xludf.DUMMYFUNCTION("IF(Account!$F130&lt;&gt;"""", VALUE(REGEXREPLACE($I130, ""\,"", ""."")), """")"),"")</f>
        <v/>
      </c>
      <c r="O130" s="33" t="str">
        <f>IF(Account!$F130&lt;&gt;"", DATEVALUE(MID($A130,4,3) &amp; LEFT($A130,3) &amp; RIGHT($A130,4)) + TIMEVALUE($B130), "")</f>
        <v/>
      </c>
      <c r="P130" s="34" t="str">
        <f>IF(Account!$F130&lt;&gt;"", DATEVALUE(MID($C130,4,3) &amp; LEFT($C130,3) &amp; RIGHT($C130,4)), "")</f>
        <v/>
      </c>
      <c r="Q130" s="35" t="str">
        <f t="array" ref="Q130">IF($R130&lt;&gt;"",IFERROR(INDEX(ISIN!$B:$B,MATCH($R130,ISIN!$C:$C,0))),)</f>
        <v/>
      </c>
      <c r="R130" s="36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5" t="str">
        <f t="shared" si="1"/>
        <v/>
      </c>
      <c r="T130" s="37" t="str">
        <f t="shared" si="2"/>
        <v/>
      </c>
      <c r="U130" s="38" t="str">
        <f t="shared" si="3"/>
        <v/>
      </c>
      <c r="V130" s="32" t="str">
        <f t="shared" si="4"/>
        <v/>
      </c>
      <c r="W130" s="39" t="str">
        <f>IFERROR(__xludf.DUMMYFUNCTION(" IF(Account!$F130&lt;&gt;"""", SPLIT(Account!$F130, "" ""), """")"),"")</f>
        <v/>
      </c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</row>
    <row r="131">
      <c r="A131" s="12"/>
      <c r="B131" s="12"/>
      <c r="C131" s="12"/>
      <c r="D131" s="12"/>
      <c r="E131" s="12"/>
      <c r="F131" s="13"/>
      <c r="G131" s="12"/>
      <c r="H131" s="12"/>
      <c r="I131" s="12"/>
      <c r="J131" s="12"/>
      <c r="K131" s="12"/>
      <c r="L131" s="13"/>
      <c r="M131" s="30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2" t="str">
        <f>IFERROR(__xludf.DUMMYFUNCTION("IF(Account!$F131&lt;&gt;"""", VALUE(REGEXREPLACE($I131, ""\,"", ""."")), """")"),"")</f>
        <v/>
      </c>
      <c r="O131" s="33" t="str">
        <f>IF(Account!$F131&lt;&gt;"", DATEVALUE(MID($A131,4,3) &amp; LEFT($A131,3) &amp; RIGHT($A131,4)) + TIMEVALUE($B131), "")</f>
        <v/>
      </c>
      <c r="P131" s="34" t="str">
        <f>IF(Account!$F131&lt;&gt;"", DATEVALUE(MID($C131,4,3) &amp; LEFT($C131,3) &amp; RIGHT($C131,4)), "")</f>
        <v/>
      </c>
      <c r="Q131" s="35" t="str">
        <f t="array" ref="Q131">IF($R131&lt;&gt;"",IFERROR(INDEX(ISIN!$B:$B,MATCH($R131,ISIN!$C:$C,0))),)</f>
        <v/>
      </c>
      <c r="R131" s="36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5" t="str">
        <f t="shared" si="1"/>
        <v/>
      </c>
      <c r="T131" s="37" t="str">
        <f t="shared" si="2"/>
        <v/>
      </c>
      <c r="U131" s="38" t="str">
        <f t="shared" si="3"/>
        <v/>
      </c>
      <c r="V131" s="32" t="str">
        <f t="shared" si="4"/>
        <v/>
      </c>
      <c r="W131" s="39" t="str">
        <f>IFERROR(__xludf.DUMMYFUNCTION(" IF(Account!$F131&lt;&gt;"""", SPLIT(Account!$F131, "" ""), """")"),"")</f>
        <v/>
      </c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</row>
    <row r="132">
      <c r="A132" s="12"/>
      <c r="B132" s="12"/>
      <c r="C132" s="12"/>
      <c r="D132" s="12"/>
      <c r="E132" s="12"/>
      <c r="F132" s="13"/>
      <c r="G132" s="12"/>
      <c r="H132" s="12"/>
      <c r="I132" s="12"/>
      <c r="J132" s="12"/>
      <c r="K132" s="12"/>
      <c r="L132" s="13"/>
      <c r="M132" s="30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2" t="str">
        <f>IFERROR(__xludf.DUMMYFUNCTION("IF(Account!$F132&lt;&gt;"""", VALUE(REGEXREPLACE($I132, ""\,"", ""."")), """")"),"")</f>
        <v/>
      </c>
      <c r="O132" s="33" t="str">
        <f>IF(Account!$F132&lt;&gt;"", DATEVALUE(MID($A132,4,3) &amp; LEFT($A132,3) &amp; RIGHT($A132,4)) + TIMEVALUE($B132), "")</f>
        <v/>
      </c>
      <c r="P132" s="34" t="str">
        <f>IF(Account!$F132&lt;&gt;"", DATEVALUE(MID($C132,4,3) &amp; LEFT($C132,3) &amp; RIGHT($C132,4)), "")</f>
        <v/>
      </c>
      <c r="Q132" s="35" t="str">
        <f t="array" ref="Q132">IF($R132&lt;&gt;"",IFERROR(INDEX(ISIN!$B:$B,MATCH($R132,ISIN!$C:$C,0))),)</f>
        <v/>
      </c>
      <c r="R132" s="36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5" t="str">
        <f t="shared" si="1"/>
        <v/>
      </c>
      <c r="T132" s="37" t="str">
        <f t="shared" si="2"/>
        <v/>
      </c>
      <c r="U132" s="38" t="str">
        <f t="shared" si="3"/>
        <v/>
      </c>
      <c r="V132" s="32" t="str">
        <f t="shared" si="4"/>
        <v/>
      </c>
      <c r="W132" s="39" t="str">
        <f>IFERROR(__xludf.DUMMYFUNCTION(" IF(Account!$F132&lt;&gt;"""", SPLIT(Account!$F132, "" ""), """")"),"")</f>
        <v/>
      </c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</row>
    <row r="133">
      <c r="A133" s="12"/>
      <c r="B133" s="12"/>
      <c r="C133" s="12"/>
      <c r="D133" s="12"/>
      <c r="E133" s="12"/>
      <c r="F133" s="13"/>
      <c r="G133" s="12"/>
      <c r="H133" s="12"/>
      <c r="I133" s="12"/>
      <c r="J133" s="12"/>
      <c r="K133" s="12"/>
      <c r="L133" s="13"/>
      <c r="M133" s="30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2" t="str">
        <f>IFERROR(__xludf.DUMMYFUNCTION("IF(Account!$F133&lt;&gt;"""", VALUE(REGEXREPLACE($I133, ""\,"", ""."")), """")"),"")</f>
        <v/>
      </c>
      <c r="O133" s="33" t="str">
        <f>IF(Account!$F133&lt;&gt;"", DATEVALUE(MID($A133,4,3) &amp; LEFT($A133,3) &amp; RIGHT($A133,4)) + TIMEVALUE($B133), "")</f>
        <v/>
      </c>
      <c r="P133" s="34" t="str">
        <f>IF(Account!$F133&lt;&gt;"", DATEVALUE(MID($C133,4,3) &amp; LEFT($C133,3) &amp; RIGHT($C133,4)), "")</f>
        <v/>
      </c>
      <c r="Q133" s="35" t="str">
        <f t="array" ref="Q133">IF($R133&lt;&gt;"",IFERROR(INDEX(ISIN!$B:$B,MATCH($R133,ISIN!$C:$C,0))),)</f>
        <v/>
      </c>
      <c r="R133" s="36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5" t="str">
        <f t="shared" si="1"/>
        <v/>
      </c>
      <c r="T133" s="37" t="str">
        <f t="shared" si="2"/>
        <v/>
      </c>
      <c r="U133" s="38" t="str">
        <f t="shared" si="3"/>
        <v/>
      </c>
      <c r="V133" s="32" t="str">
        <f t="shared" si="4"/>
        <v/>
      </c>
      <c r="W133" s="39" t="str">
        <f>IFERROR(__xludf.DUMMYFUNCTION(" IF(Account!$F133&lt;&gt;"""", SPLIT(Account!$F133, "" ""), """")"),"")</f>
        <v/>
      </c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</row>
    <row r="134">
      <c r="A134" s="12"/>
      <c r="B134" s="12"/>
      <c r="C134" s="12"/>
      <c r="D134" s="12"/>
      <c r="E134" s="12"/>
      <c r="F134" s="13"/>
      <c r="G134" s="12"/>
      <c r="H134" s="12"/>
      <c r="I134" s="12"/>
      <c r="J134" s="12"/>
      <c r="K134" s="12"/>
      <c r="L134" s="13"/>
      <c r="M134" s="30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2" t="str">
        <f>IFERROR(__xludf.DUMMYFUNCTION("IF(Account!$F134&lt;&gt;"""", VALUE(REGEXREPLACE($I134, ""\,"", ""."")), """")"),"")</f>
        <v/>
      </c>
      <c r="O134" s="33" t="str">
        <f>IF(Account!$F134&lt;&gt;"", DATEVALUE(MID($A134,4,3) &amp; LEFT($A134,3) &amp; RIGHT($A134,4)) + TIMEVALUE($B134), "")</f>
        <v/>
      </c>
      <c r="P134" s="34" t="str">
        <f>IF(Account!$F134&lt;&gt;"", DATEVALUE(MID($C134,4,3) &amp; LEFT($C134,3) &amp; RIGHT($C134,4)), "")</f>
        <v/>
      </c>
      <c r="Q134" s="35" t="str">
        <f t="array" ref="Q134">IF($R134&lt;&gt;"",IFERROR(INDEX(ISIN!$B:$B,MATCH($R134,ISIN!$C:$C,0))),)</f>
        <v/>
      </c>
      <c r="R134" s="36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5" t="str">
        <f t="shared" si="1"/>
        <v/>
      </c>
      <c r="T134" s="37" t="str">
        <f t="shared" si="2"/>
        <v/>
      </c>
      <c r="U134" s="38" t="str">
        <f t="shared" si="3"/>
        <v/>
      </c>
      <c r="V134" s="32" t="str">
        <f t="shared" si="4"/>
        <v/>
      </c>
      <c r="W134" s="39" t="str">
        <f>IFERROR(__xludf.DUMMYFUNCTION(" IF(Account!$F134&lt;&gt;"""", SPLIT(Account!$F134, "" ""), """")"),"")</f>
        <v/>
      </c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</row>
    <row r="135">
      <c r="A135" s="12"/>
      <c r="B135" s="12"/>
      <c r="C135" s="12"/>
      <c r="D135" s="12"/>
      <c r="E135" s="12"/>
      <c r="F135" s="13"/>
      <c r="G135" s="12"/>
      <c r="H135" s="12"/>
      <c r="I135" s="12"/>
      <c r="J135" s="12"/>
      <c r="K135" s="12"/>
      <c r="L135" s="13"/>
      <c r="M135" s="30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2" t="str">
        <f>IFERROR(__xludf.DUMMYFUNCTION("IF(Account!$F135&lt;&gt;"""", VALUE(REGEXREPLACE($I135, ""\,"", ""."")), """")"),"")</f>
        <v/>
      </c>
      <c r="O135" s="33" t="str">
        <f>IF(Account!$F135&lt;&gt;"", DATEVALUE(MID($A135,4,3) &amp; LEFT($A135,3) &amp; RIGHT($A135,4)) + TIMEVALUE($B135), "")</f>
        <v/>
      </c>
      <c r="P135" s="34" t="str">
        <f>IF(Account!$F135&lt;&gt;"", DATEVALUE(MID($C135,4,3) &amp; LEFT($C135,3) &amp; RIGHT($C135,4)), "")</f>
        <v/>
      </c>
      <c r="Q135" s="35" t="str">
        <f t="array" ref="Q135">IF($R135&lt;&gt;"",IFERROR(INDEX(ISIN!$B:$B,MATCH($R135,ISIN!$C:$C,0))),)</f>
        <v/>
      </c>
      <c r="R135" s="36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5" t="str">
        <f t="shared" si="1"/>
        <v/>
      </c>
      <c r="T135" s="37" t="str">
        <f t="shared" si="2"/>
        <v/>
      </c>
      <c r="U135" s="38" t="str">
        <f t="shared" si="3"/>
        <v/>
      </c>
      <c r="V135" s="32" t="str">
        <f t="shared" si="4"/>
        <v/>
      </c>
      <c r="W135" s="39" t="str">
        <f>IFERROR(__xludf.DUMMYFUNCTION(" IF(Account!$F135&lt;&gt;"""", SPLIT(Account!$F135, "" ""), """")"),"")</f>
        <v/>
      </c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</row>
    <row r="136">
      <c r="A136" s="12"/>
      <c r="B136" s="12"/>
      <c r="C136" s="12"/>
      <c r="D136" s="12"/>
      <c r="E136" s="12"/>
      <c r="F136" s="13"/>
      <c r="G136" s="12"/>
      <c r="H136" s="12"/>
      <c r="I136" s="12"/>
      <c r="J136" s="12"/>
      <c r="K136" s="12"/>
      <c r="L136" s="13"/>
      <c r="M136" s="30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2" t="str">
        <f>IFERROR(__xludf.DUMMYFUNCTION("IF(Account!$F136&lt;&gt;"""", VALUE(REGEXREPLACE($I136, ""\,"", ""."")), """")"),"")</f>
        <v/>
      </c>
      <c r="O136" s="33" t="str">
        <f>IF(Account!$F136&lt;&gt;"", DATEVALUE(MID($A136,4,3) &amp; LEFT($A136,3) &amp; RIGHT($A136,4)) + TIMEVALUE($B136), "")</f>
        <v/>
      </c>
      <c r="P136" s="34" t="str">
        <f>IF(Account!$F136&lt;&gt;"", DATEVALUE(MID($C136,4,3) &amp; LEFT($C136,3) &amp; RIGHT($C136,4)), "")</f>
        <v/>
      </c>
      <c r="Q136" s="35" t="str">
        <f t="array" ref="Q136">IF($R136&lt;&gt;"",IFERROR(INDEX(ISIN!$B:$B,MATCH($R136,ISIN!$C:$C,0))),)</f>
        <v/>
      </c>
      <c r="R136" s="36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5" t="str">
        <f t="shared" si="1"/>
        <v/>
      </c>
      <c r="T136" s="37" t="str">
        <f t="shared" si="2"/>
        <v/>
      </c>
      <c r="U136" s="38" t="str">
        <f t="shared" si="3"/>
        <v/>
      </c>
      <c r="V136" s="32" t="str">
        <f t="shared" si="4"/>
        <v/>
      </c>
      <c r="W136" s="39" t="str">
        <f>IFERROR(__xludf.DUMMYFUNCTION(" IF(Account!$F136&lt;&gt;"""", SPLIT(Account!$F136, "" ""), """")"),"")</f>
        <v/>
      </c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</row>
    <row r="137">
      <c r="A137" s="12"/>
      <c r="B137" s="12"/>
      <c r="C137" s="12"/>
      <c r="D137" s="12"/>
      <c r="E137" s="12"/>
      <c r="F137" s="13"/>
      <c r="G137" s="12"/>
      <c r="H137" s="12"/>
      <c r="I137" s="12"/>
      <c r="J137" s="12"/>
      <c r="K137" s="12"/>
      <c r="L137" s="13"/>
      <c r="M137" s="30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2" t="str">
        <f>IFERROR(__xludf.DUMMYFUNCTION("IF(Account!$F137&lt;&gt;"""", VALUE(REGEXREPLACE($I137, ""\,"", ""."")), """")"),"")</f>
        <v/>
      </c>
      <c r="O137" s="33" t="str">
        <f>IF(Account!$F137&lt;&gt;"", DATEVALUE(MID($A137,4,3) &amp; LEFT($A137,3) &amp; RIGHT($A137,4)) + TIMEVALUE($B137), "")</f>
        <v/>
      </c>
      <c r="P137" s="34" t="str">
        <f>IF(Account!$F137&lt;&gt;"", DATEVALUE(MID($C137,4,3) &amp; LEFT($C137,3) &amp; RIGHT($C137,4)), "")</f>
        <v/>
      </c>
      <c r="Q137" s="35" t="str">
        <f t="array" ref="Q137">IF($R137&lt;&gt;"",IFERROR(INDEX(ISIN!$B:$B,MATCH($R137,ISIN!$C:$C,0))),)</f>
        <v/>
      </c>
      <c r="R137" s="36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5" t="str">
        <f t="shared" si="1"/>
        <v/>
      </c>
      <c r="T137" s="37" t="str">
        <f t="shared" si="2"/>
        <v/>
      </c>
      <c r="U137" s="38" t="str">
        <f t="shared" si="3"/>
        <v/>
      </c>
      <c r="V137" s="32" t="str">
        <f t="shared" si="4"/>
        <v/>
      </c>
      <c r="W137" s="39" t="str">
        <f>IFERROR(__xludf.DUMMYFUNCTION(" IF(Account!$F137&lt;&gt;"""", SPLIT(Account!$F137, "" ""), """")"),"")</f>
        <v/>
      </c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</row>
    <row r="138">
      <c r="A138" s="12"/>
      <c r="B138" s="12"/>
      <c r="C138" s="12"/>
      <c r="D138" s="12"/>
      <c r="E138" s="12"/>
      <c r="F138" s="13"/>
      <c r="G138" s="12"/>
      <c r="H138" s="12"/>
      <c r="I138" s="12"/>
      <c r="J138" s="12"/>
      <c r="K138" s="12"/>
      <c r="L138" s="13"/>
      <c r="M138" s="30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2" t="str">
        <f>IFERROR(__xludf.DUMMYFUNCTION("IF(Account!$F138&lt;&gt;"""", VALUE(REGEXREPLACE($I138, ""\,"", ""."")), """")"),"")</f>
        <v/>
      </c>
      <c r="O138" s="33" t="str">
        <f>IF(Account!$F138&lt;&gt;"", DATEVALUE(MID($A138,4,3) &amp; LEFT($A138,3) &amp; RIGHT($A138,4)) + TIMEVALUE($B138), "")</f>
        <v/>
      </c>
      <c r="P138" s="34" t="str">
        <f>IF(Account!$F138&lt;&gt;"", DATEVALUE(MID($C138,4,3) &amp; LEFT($C138,3) &amp; RIGHT($C138,4)), "")</f>
        <v/>
      </c>
      <c r="Q138" s="35" t="str">
        <f t="array" ref="Q138">IF($R138&lt;&gt;"",IFERROR(INDEX(ISIN!$B:$B,MATCH($R138,ISIN!$C:$C,0))),)</f>
        <v/>
      </c>
      <c r="R138" s="36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5" t="str">
        <f t="shared" si="1"/>
        <v/>
      </c>
      <c r="T138" s="37" t="str">
        <f t="shared" si="2"/>
        <v/>
      </c>
      <c r="U138" s="38" t="str">
        <f t="shared" si="3"/>
        <v/>
      </c>
      <c r="V138" s="32" t="str">
        <f t="shared" si="4"/>
        <v/>
      </c>
      <c r="W138" s="39" t="str">
        <f>IFERROR(__xludf.DUMMYFUNCTION(" IF(Account!$F138&lt;&gt;"""", SPLIT(Account!$F138, "" ""), """")"),"")</f>
        <v/>
      </c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</row>
    <row r="139">
      <c r="A139" s="12"/>
      <c r="B139" s="12"/>
      <c r="C139" s="12"/>
      <c r="D139" s="12"/>
      <c r="E139" s="12"/>
      <c r="F139" s="13"/>
      <c r="G139" s="12"/>
      <c r="H139" s="12"/>
      <c r="I139" s="12"/>
      <c r="J139" s="12"/>
      <c r="K139" s="12"/>
      <c r="L139" s="13"/>
      <c r="M139" s="30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2" t="str">
        <f>IFERROR(__xludf.DUMMYFUNCTION("IF(Account!$F139&lt;&gt;"""", VALUE(REGEXREPLACE($I139, ""\,"", ""."")), """")"),"")</f>
        <v/>
      </c>
      <c r="O139" s="33" t="str">
        <f>IF(Account!$F139&lt;&gt;"", DATEVALUE(MID($A139,4,3) &amp; LEFT($A139,3) &amp; RIGHT($A139,4)) + TIMEVALUE($B139), "")</f>
        <v/>
      </c>
      <c r="P139" s="34" t="str">
        <f>IF(Account!$F139&lt;&gt;"", DATEVALUE(MID($C139,4,3) &amp; LEFT($C139,3) &amp; RIGHT($C139,4)), "")</f>
        <v/>
      </c>
      <c r="Q139" s="35" t="str">
        <f t="array" ref="Q139">IF($R139&lt;&gt;"",IFERROR(INDEX(ISIN!$B:$B,MATCH($R139,ISIN!$C:$C,0))),)</f>
        <v/>
      </c>
      <c r="R139" s="36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5" t="str">
        <f t="shared" si="1"/>
        <v/>
      </c>
      <c r="T139" s="37" t="str">
        <f t="shared" si="2"/>
        <v/>
      </c>
      <c r="U139" s="38" t="str">
        <f t="shared" si="3"/>
        <v/>
      </c>
      <c r="V139" s="32" t="str">
        <f t="shared" si="4"/>
        <v/>
      </c>
      <c r="W139" s="39" t="str">
        <f>IFERROR(__xludf.DUMMYFUNCTION(" IF(Account!$F139&lt;&gt;"""", SPLIT(Account!$F139, "" ""), """")"),"")</f>
        <v/>
      </c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</row>
    <row r="140">
      <c r="A140" s="12"/>
      <c r="B140" s="12"/>
      <c r="C140" s="12"/>
      <c r="D140" s="12"/>
      <c r="E140" s="12"/>
      <c r="F140" s="13"/>
      <c r="G140" s="12"/>
      <c r="H140" s="12"/>
      <c r="I140" s="12"/>
      <c r="J140" s="12"/>
      <c r="K140" s="12"/>
      <c r="L140" s="13"/>
      <c r="M140" s="30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2" t="str">
        <f>IFERROR(__xludf.DUMMYFUNCTION("IF(Account!$F140&lt;&gt;"""", VALUE(REGEXREPLACE($I140, ""\,"", ""."")), """")"),"")</f>
        <v/>
      </c>
      <c r="O140" s="33" t="str">
        <f>IF(Account!$F140&lt;&gt;"", DATEVALUE(MID($A140,4,3) &amp; LEFT($A140,3) &amp; RIGHT($A140,4)) + TIMEVALUE($B140), "")</f>
        <v/>
      </c>
      <c r="P140" s="34" t="str">
        <f>IF(Account!$F140&lt;&gt;"", DATEVALUE(MID($C140,4,3) &amp; LEFT($C140,3) &amp; RIGHT($C140,4)), "")</f>
        <v/>
      </c>
      <c r="Q140" s="35" t="str">
        <f t="array" ref="Q140">IF($R140&lt;&gt;"",IFERROR(INDEX(ISIN!$B:$B,MATCH($R140,ISIN!$C:$C,0))),)</f>
        <v/>
      </c>
      <c r="R140" s="36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5" t="str">
        <f t="shared" si="1"/>
        <v/>
      </c>
      <c r="T140" s="37" t="str">
        <f t="shared" si="2"/>
        <v/>
      </c>
      <c r="U140" s="38" t="str">
        <f t="shared" si="3"/>
        <v/>
      </c>
      <c r="V140" s="32" t="str">
        <f t="shared" si="4"/>
        <v/>
      </c>
      <c r="W140" s="39" t="str">
        <f>IFERROR(__xludf.DUMMYFUNCTION(" IF(Account!$F140&lt;&gt;"""", SPLIT(Account!$F140, "" ""), """")"),"")</f>
        <v/>
      </c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</row>
    <row r="141">
      <c r="A141" s="12"/>
      <c r="B141" s="12"/>
      <c r="C141" s="12"/>
      <c r="D141" s="12"/>
      <c r="E141" s="12"/>
      <c r="F141" s="13"/>
      <c r="G141" s="12"/>
      <c r="H141" s="12"/>
      <c r="I141" s="12"/>
      <c r="J141" s="12"/>
      <c r="K141" s="12"/>
      <c r="L141" s="13"/>
      <c r="M141" s="30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2" t="str">
        <f>IFERROR(__xludf.DUMMYFUNCTION("IF(Account!$F141&lt;&gt;"""", VALUE(REGEXREPLACE($I141, ""\,"", ""."")), """")"),"")</f>
        <v/>
      </c>
      <c r="O141" s="33" t="str">
        <f>IF(Account!$F141&lt;&gt;"", DATEVALUE(MID($A141,4,3) &amp; LEFT($A141,3) &amp; RIGHT($A141,4)) + TIMEVALUE($B141), "")</f>
        <v/>
      </c>
      <c r="P141" s="34" t="str">
        <f>IF(Account!$F141&lt;&gt;"", DATEVALUE(MID($C141,4,3) &amp; LEFT($C141,3) &amp; RIGHT($C141,4)), "")</f>
        <v/>
      </c>
      <c r="Q141" s="35" t="str">
        <f t="array" ref="Q141">IF($R141&lt;&gt;"",IFERROR(INDEX(ISIN!$B:$B,MATCH($R141,ISIN!$C:$C,0))),)</f>
        <v/>
      </c>
      <c r="R141" s="36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5" t="str">
        <f t="shared" si="1"/>
        <v/>
      </c>
      <c r="T141" s="37" t="str">
        <f t="shared" si="2"/>
        <v/>
      </c>
      <c r="U141" s="38" t="str">
        <f t="shared" si="3"/>
        <v/>
      </c>
      <c r="V141" s="32" t="str">
        <f t="shared" si="4"/>
        <v/>
      </c>
      <c r="W141" s="39" t="str">
        <f>IFERROR(__xludf.DUMMYFUNCTION(" IF(Account!$F141&lt;&gt;"""", SPLIT(Account!$F141, "" ""), """")"),"")</f>
        <v/>
      </c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</row>
    <row r="142">
      <c r="A142" s="12"/>
      <c r="B142" s="12"/>
      <c r="C142" s="12"/>
      <c r="D142" s="12"/>
      <c r="E142" s="12"/>
      <c r="F142" s="13"/>
      <c r="G142" s="12"/>
      <c r="H142" s="12"/>
      <c r="I142" s="12"/>
      <c r="J142" s="12"/>
      <c r="K142" s="12"/>
      <c r="L142" s="13"/>
      <c r="M142" s="30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2" t="str">
        <f>IFERROR(__xludf.DUMMYFUNCTION("IF(Account!$F142&lt;&gt;"""", VALUE(REGEXREPLACE($I142, ""\,"", ""."")), """")"),"")</f>
        <v/>
      </c>
      <c r="O142" s="33" t="str">
        <f>IF(Account!$F142&lt;&gt;"", DATEVALUE(MID($A142,4,3) &amp; LEFT($A142,3) &amp; RIGHT($A142,4)) + TIMEVALUE($B142), "")</f>
        <v/>
      </c>
      <c r="P142" s="34" t="str">
        <f>IF(Account!$F142&lt;&gt;"", DATEVALUE(MID($C142,4,3) &amp; LEFT($C142,3) &amp; RIGHT($C142,4)), "")</f>
        <v/>
      </c>
      <c r="Q142" s="35" t="str">
        <f t="array" ref="Q142">IF($R142&lt;&gt;"",IFERROR(INDEX(ISIN!$B:$B,MATCH($R142,ISIN!$C:$C,0))),)</f>
        <v/>
      </c>
      <c r="R142" s="36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5" t="str">
        <f t="shared" si="1"/>
        <v/>
      </c>
      <c r="T142" s="37" t="str">
        <f t="shared" si="2"/>
        <v/>
      </c>
      <c r="U142" s="38" t="str">
        <f t="shared" si="3"/>
        <v/>
      </c>
      <c r="V142" s="32" t="str">
        <f t="shared" si="4"/>
        <v/>
      </c>
      <c r="W142" s="39" t="str">
        <f>IFERROR(__xludf.DUMMYFUNCTION(" IF(Account!$F142&lt;&gt;"""", SPLIT(Account!$F142, "" ""), """")"),"")</f>
        <v/>
      </c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</row>
    <row r="143">
      <c r="A143" s="12"/>
      <c r="B143" s="12"/>
      <c r="C143" s="12"/>
      <c r="D143" s="12"/>
      <c r="E143" s="12"/>
      <c r="F143" s="13"/>
      <c r="G143" s="12"/>
      <c r="H143" s="12"/>
      <c r="I143" s="12"/>
      <c r="J143" s="12"/>
      <c r="K143" s="12"/>
      <c r="L143" s="13"/>
      <c r="M143" s="30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2" t="str">
        <f>IFERROR(__xludf.DUMMYFUNCTION("IF(Account!$F143&lt;&gt;"""", VALUE(REGEXREPLACE($I143, ""\,"", ""."")), """")"),"")</f>
        <v/>
      </c>
      <c r="O143" s="33" t="str">
        <f>IF(Account!$F143&lt;&gt;"", DATEVALUE(MID($A143,4,3) &amp; LEFT($A143,3) &amp; RIGHT($A143,4)) + TIMEVALUE($B143), "")</f>
        <v/>
      </c>
      <c r="P143" s="34" t="str">
        <f>IF(Account!$F143&lt;&gt;"", DATEVALUE(MID($C143,4,3) &amp; LEFT($C143,3) &amp; RIGHT($C143,4)), "")</f>
        <v/>
      </c>
      <c r="Q143" s="35" t="str">
        <f t="array" ref="Q143">IF($R143&lt;&gt;"",IFERROR(INDEX(ISIN!$B:$B,MATCH($R143,ISIN!$C:$C,0))),)</f>
        <v/>
      </c>
      <c r="R143" s="36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5" t="str">
        <f t="shared" si="1"/>
        <v/>
      </c>
      <c r="T143" s="37" t="str">
        <f t="shared" si="2"/>
        <v/>
      </c>
      <c r="U143" s="38" t="str">
        <f t="shared" si="3"/>
        <v/>
      </c>
      <c r="V143" s="32" t="str">
        <f t="shared" si="4"/>
        <v/>
      </c>
      <c r="W143" s="39" t="str">
        <f>IFERROR(__xludf.DUMMYFUNCTION(" IF(Account!$F143&lt;&gt;"""", SPLIT(Account!$F143, "" ""), """")"),"")</f>
        <v/>
      </c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</row>
    <row r="144">
      <c r="A144" s="12"/>
      <c r="B144" s="12"/>
      <c r="C144" s="12"/>
      <c r="D144" s="12"/>
      <c r="E144" s="12"/>
      <c r="F144" s="13"/>
      <c r="G144" s="12"/>
      <c r="H144" s="12"/>
      <c r="I144" s="12"/>
      <c r="J144" s="12"/>
      <c r="K144" s="12"/>
      <c r="L144" s="13"/>
      <c r="M144" s="30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2" t="str">
        <f>IFERROR(__xludf.DUMMYFUNCTION("IF(Account!$F144&lt;&gt;"""", VALUE(REGEXREPLACE($I144, ""\,"", ""."")), """")"),"")</f>
        <v/>
      </c>
      <c r="O144" s="33" t="str">
        <f>IF(Account!$F144&lt;&gt;"", DATEVALUE(MID($A144,4,3) &amp; LEFT($A144,3) &amp; RIGHT($A144,4)) + TIMEVALUE($B144), "")</f>
        <v/>
      </c>
      <c r="P144" s="34" t="str">
        <f>IF(Account!$F144&lt;&gt;"", DATEVALUE(MID($C144,4,3) &amp; LEFT($C144,3) &amp; RIGHT($C144,4)), "")</f>
        <v/>
      </c>
      <c r="Q144" s="35" t="str">
        <f t="array" ref="Q144">IF($R144&lt;&gt;"",IFERROR(INDEX(ISIN!$B:$B,MATCH($R144,ISIN!$C:$C,0))),)</f>
        <v/>
      </c>
      <c r="R144" s="36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5" t="str">
        <f t="shared" si="1"/>
        <v/>
      </c>
      <c r="T144" s="37" t="str">
        <f t="shared" si="2"/>
        <v/>
      </c>
      <c r="U144" s="38" t="str">
        <f t="shared" si="3"/>
        <v/>
      </c>
      <c r="V144" s="32" t="str">
        <f t="shared" si="4"/>
        <v/>
      </c>
      <c r="W144" s="39" t="str">
        <f>IFERROR(__xludf.DUMMYFUNCTION(" IF(Account!$F144&lt;&gt;"""", SPLIT(Account!$F144, "" ""), """")"),"")</f>
        <v/>
      </c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</row>
    <row r="145">
      <c r="A145" s="12"/>
      <c r="B145" s="12"/>
      <c r="C145" s="12"/>
      <c r="D145" s="12"/>
      <c r="E145" s="12"/>
      <c r="F145" s="13"/>
      <c r="G145" s="12"/>
      <c r="H145" s="12"/>
      <c r="I145" s="12"/>
      <c r="J145" s="12"/>
      <c r="K145" s="12"/>
      <c r="L145" s="13"/>
      <c r="M145" s="30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2" t="str">
        <f>IFERROR(__xludf.DUMMYFUNCTION("IF(Account!$F145&lt;&gt;"""", VALUE(REGEXREPLACE($I145, ""\,"", ""."")), """")"),"")</f>
        <v/>
      </c>
      <c r="O145" s="33" t="str">
        <f>IF(Account!$F145&lt;&gt;"", DATEVALUE(MID($A145,4,3) &amp; LEFT($A145,3) &amp; RIGHT($A145,4)) + TIMEVALUE($B145), "")</f>
        <v/>
      </c>
      <c r="P145" s="34" t="str">
        <f>IF(Account!$F145&lt;&gt;"", DATEVALUE(MID($C145,4,3) &amp; LEFT($C145,3) &amp; RIGHT($C145,4)), "")</f>
        <v/>
      </c>
      <c r="Q145" s="35" t="str">
        <f t="array" ref="Q145">IF($R145&lt;&gt;"",IFERROR(INDEX(ISIN!$B:$B,MATCH($R145,ISIN!$C:$C,0))),)</f>
        <v/>
      </c>
      <c r="R145" s="36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5" t="str">
        <f t="shared" si="1"/>
        <v/>
      </c>
      <c r="T145" s="37" t="str">
        <f t="shared" si="2"/>
        <v/>
      </c>
      <c r="U145" s="38" t="str">
        <f t="shared" si="3"/>
        <v/>
      </c>
      <c r="V145" s="32" t="str">
        <f t="shared" si="4"/>
        <v/>
      </c>
      <c r="W145" s="39" t="str">
        <f>IFERROR(__xludf.DUMMYFUNCTION(" IF(Account!$F145&lt;&gt;"""", SPLIT(Account!$F145, "" ""), """")"),"")</f>
        <v/>
      </c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</row>
    <row r="146">
      <c r="A146" s="12"/>
      <c r="B146" s="12"/>
      <c r="C146" s="12"/>
      <c r="D146" s="12"/>
      <c r="E146" s="12"/>
      <c r="F146" s="13"/>
      <c r="G146" s="12"/>
      <c r="H146" s="12"/>
      <c r="I146" s="12"/>
      <c r="J146" s="12"/>
      <c r="K146" s="12"/>
      <c r="L146" s="13"/>
      <c r="M146" s="30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2" t="str">
        <f>IFERROR(__xludf.DUMMYFUNCTION("IF(Account!$F146&lt;&gt;"""", VALUE(REGEXREPLACE($I146, ""\,"", ""."")), """")"),"")</f>
        <v/>
      </c>
      <c r="O146" s="33" t="str">
        <f>IF(Account!$F146&lt;&gt;"", DATEVALUE(MID($A146,4,3) &amp; LEFT($A146,3) &amp; RIGHT($A146,4)) + TIMEVALUE($B146), "")</f>
        <v/>
      </c>
      <c r="P146" s="34" t="str">
        <f>IF(Account!$F146&lt;&gt;"", DATEVALUE(MID($C146,4,3) &amp; LEFT($C146,3) &amp; RIGHT($C146,4)), "")</f>
        <v/>
      </c>
      <c r="Q146" s="35" t="str">
        <f t="array" ref="Q146">IF($R146&lt;&gt;"",IFERROR(INDEX(ISIN!$B:$B,MATCH($R146,ISIN!$C:$C,0))),)</f>
        <v/>
      </c>
      <c r="R146" s="36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5" t="str">
        <f t="shared" si="1"/>
        <v/>
      </c>
      <c r="T146" s="37" t="str">
        <f t="shared" si="2"/>
        <v/>
      </c>
      <c r="U146" s="38" t="str">
        <f t="shared" si="3"/>
        <v/>
      </c>
      <c r="V146" s="32" t="str">
        <f t="shared" si="4"/>
        <v/>
      </c>
      <c r="W146" s="39" t="str">
        <f>IFERROR(__xludf.DUMMYFUNCTION(" IF(Account!$F146&lt;&gt;"""", SPLIT(Account!$F146, "" ""), """")"),"")</f>
        <v/>
      </c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</row>
    <row r="147">
      <c r="A147" s="12"/>
      <c r="B147" s="12"/>
      <c r="C147" s="12"/>
      <c r="D147" s="12"/>
      <c r="E147" s="12"/>
      <c r="F147" s="13"/>
      <c r="G147" s="12"/>
      <c r="H147" s="12"/>
      <c r="I147" s="12"/>
      <c r="J147" s="12"/>
      <c r="K147" s="12"/>
      <c r="L147" s="13"/>
      <c r="M147" s="30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2" t="str">
        <f>IFERROR(__xludf.DUMMYFUNCTION("IF(Account!$F147&lt;&gt;"""", VALUE(REGEXREPLACE($I147, ""\,"", ""."")), """")"),"")</f>
        <v/>
      </c>
      <c r="O147" s="33" t="str">
        <f>IF(Account!$F147&lt;&gt;"", DATEVALUE(MID($A147,4,3) &amp; LEFT($A147,3) &amp; RIGHT($A147,4)) + TIMEVALUE($B147), "")</f>
        <v/>
      </c>
      <c r="P147" s="34" t="str">
        <f>IF(Account!$F147&lt;&gt;"", DATEVALUE(MID($C147,4,3) &amp; LEFT($C147,3) &amp; RIGHT($C147,4)), "")</f>
        <v/>
      </c>
      <c r="Q147" s="35" t="str">
        <f t="array" ref="Q147">IF($R147&lt;&gt;"",IFERROR(INDEX(ISIN!$B:$B,MATCH($R147,ISIN!$C:$C,0))),)</f>
        <v/>
      </c>
      <c r="R147" s="36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5" t="str">
        <f t="shared" si="1"/>
        <v/>
      </c>
      <c r="T147" s="37" t="str">
        <f t="shared" si="2"/>
        <v/>
      </c>
      <c r="U147" s="38" t="str">
        <f t="shared" si="3"/>
        <v/>
      </c>
      <c r="V147" s="32" t="str">
        <f t="shared" si="4"/>
        <v/>
      </c>
      <c r="W147" s="39" t="str">
        <f>IFERROR(__xludf.DUMMYFUNCTION(" IF(Account!$F147&lt;&gt;"""", SPLIT(Account!$F147, "" ""), """")"),"")</f>
        <v/>
      </c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</row>
    <row r="148">
      <c r="A148" s="12"/>
      <c r="B148" s="12"/>
      <c r="C148" s="12"/>
      <c r="D148" s="12"/>
      <c r="E148" s="12"/>
      <c r="F148" s="13"/>
      <c r="G148" s="12"/>
      <c r="H148" s="12"/>
      <c r="I148" s="12"/>
      <c r="J148" s="12"/>
      <c r="K148" s="12"/>
      <c r="L148" s="13"/>
      <c r="M148" s="30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2" t="str">
        <f>IFERROR(__xludf.DUMMYFUNCTION("IF(Account!$F148&lt;&gt;"""", VALUE(REGEXREPLACE($I148, ""\,"", ""."")), """")"),"")</f>
        <v/>
      </c>
      <c r="O148" s="33" t="str">
        <f>IF(Account!$F148&lt;&gt;"", DATEVALUE(MID($A148,4,3) &amp; LEFT($A148,3) &amp; RIGHT($A148,4)) + TIMEVALUE($B148), "")</f>
        <v/>
      </c>
      <c r="P148" s="34" t="str">
        <f>IF(Account!$F148&lt;&gt;"", DATEVALUE(MID($C148,4,3) &amp; LEFT($C148,3) &amp; RIGHT($C148,4)), "")</f>
        <v/>
      </c>
      <c r="Q148" s="35" t="str">
        <f t="array" ref="Q148">IF($R148&lt;&gt;"",IFERROR(INDEX(ISIN!$B:$B,MATCH($R148,ISIN!$C:$C,0))),)</f>
        <v/>
      </c>
      <c r="R148" s="36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5" t="str">
        <f t="shared" si="1"/>
        <v/>
      </c>
      <c r="T148" s="37" t="str">
        <f t="shared" si="2"/>
        <v/>
      </c>
      <c r="U148" s="38" t="str">
        <f t="shared" si="3"/>
        <v/>
      </c>
      <c r="V148" s="32" t="str">
        <f t="shared" si="4"/>
        <v/>
      </c>
      <c r="W148" s="39" t="str">
        <f>IFERROR(__xludf.DUMMYFUNCTION(" IF(Account!$F148&lt;&gt;"""", SPLIT(Account!$F148, "" ""), """")"),"")</f>
        <v/>
      </c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</row>
    <row r="149">
      <c r="A149" s="12"/>
      <c r="B149" s="12"/>
      <c r="C149" s="12"/>
      <c r="D149" s="12"/>
      <c r="E149" s="12"/>
      <c r="F149" s="13"/>
      <c r="G149" s="12"/>
      <c r="H149" s="12"/>
      <c r="I149" s="12"/>
      <c r="J149" s="12"/>
      <c r="K149" s="12"/>
      <c r="L149" s="13"/>
      <c r="M149" s="30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2" t="str">
        <f>IFERROR(__xludf.DUMMYFUNCTION("IF(Account!$F149&lt;&gt;"""", VALUE(REGEXREPLACE($I149, ""\,"", ""."")), """")"),"")</f>
        <v/>
      </c>
      <c r="O149" s="33" t="str">
        <f>IF(Account!$F149&lt;&gt;"", DATEVALUE(MID($A149,4,3) &amp; LEFT($A149,3) &amp; RIGHT($A149,4)) + TIMEVALUE($B149), "")</f>
        <v/>
      </c>
      <c r="P149" s="34" t="str">
        <f>IF(Account!$F149&lt;&gt;"", DATEVALUE(MID($C149,4,3) &amp; LEFT($C149,3) &amp; RIGHT($C149,4)), "")</f>
        <v/>
      </c>
      <c r="Q149" s="35" t="str">
        <f t="array" ref="Q149">IF($R149&lt;&gt;"",IFERROR(INDEX(ISIN!$B:$B,MATCH($R149,ISIN!$C:$C,0))),)</f>
        <v/>
      </c>
      <c r="R149" s="36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5" t="str">
        <f t="shared" si="1"/>
        <v/>
      </c>
      <c r="T149" s="37" t="str">
        <f t="shared" si="2"/>
        <v/>
      </c>
      <c r="U149" s="38" t="str">
        <f t="shared" si="3"/>
        <v/>
      </c>
      <c r="V149" s="32" t="str">
        <f t="shared" si="4"/>
        <v/>
      </c>
      <c r="W149" s="39" t="str">
        <f>IFERROR(__xludf.DUMMYFUNCTION(" IF(Account!$F149&lt;&gt;"""", SPLIT(Account!$F149, "" ""), """")"),"")</f>
        <v/>
      </c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</row>
    <row r="150">
      <c r="A150" s="12"/>
      <c r="B150" s="12"/>
      <c r="C150" s="12"/>
      <c r="D150" s="12"/>
      <c r="E150" s="12"/>
      <c r="F150" s="13"/>
      <c r="G150" s="12"/>
      <c r="H150" s="12"/>
      <c r="I150" s="12"/>
      <c r="J150" s="12"/>
      <c r="K150" s="12"/>
      <c r="L150" s="13"/>
      <c r="M150" s="30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2" t="str">
        <f>IFERROR(__xludf.DUMMYFUNCTION("IF(Account!$F150&lt;&gt;"""", VALUE(REGEXREPLACE($I150, ""\,"", ""."")), """")"),"")</f>
        <v/>
      </c>
      <c r="O150" s="33" t="str">
        <f>IF(Account!$F150&lt;&gt;"", DATEVALUE(MID($A150,4,3) &amp; LEFT($A150,3) &amp; RIGHT($A150,4)) + TIMEVALUE($B150), "")</f>
        <v/>
      </c>
      <c r="P150" s="34" t="str">
        <f>IF(Account!$F150&lt;&gt;"", DATEVALUE(MID($C150,4,3) &amp; LEFT($C150,3) &amp; RIGHT($C150,4)), "")</f>
        <v/>
      </c>
      <c r="Q150" s="35" t="str">
        <f t="array" ref="Q150">IF($R150&lt;&gt;"",IFERROR(INDEX(ISIN!$B:$B,MATCH($R150,ISIN!$C:$C,0))),)</f>
        <v/>
      </c>
      <c r="R150" s="36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5" t="str">
        <f t="shared" si="1"/>
        <v/>
      </c>
      <c r="T150" s="37" t="str">
        <f t="shared" si="2"/>
        <v/>
      </c>
      <c r="U150" s="38" t="str">
        <f t="shared" si="3"/>
        <v/>
      </c>
      <c r="V150" s="32" t="str">
        <f t="shared" si="4"/>
        <v/>
      </c>
      <c r="W150" s="39" t="str">
        <f>IFERROR(__xludf.DUMMYFUNCTION(" IF(Account!$F150&lt;&gt;"""", SPLIT(Account!$F150, "" ""), """")"),"")</f>
        <v/>
      </c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</row>
    <row r="151">
      <c r="A151" s="12"/>
      <c r="B151" s="12"/>
      <c r="C151" s="12"/>
      <c r="D151" s="12"/>
      <c r="E151" s="12"/>
      <c r="F151" s="13"/>
      <c r="G151" s="12"/>
      <c r="H151" s="12"/>
      <c r="I151" s="12"/>
      <c r="J151" s="12"/>
      <c r="K151" s="12"/>
      <c r="L151" s="13"/>
      <c r="M151" s="30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2" t="str">
        <f>IFERROR(__xludf.DUMMYFUNCTION("IF(Account!$F151&lt;&gt;"""", VALUE(REGEXREPLACE($I151, ""\,"", ""."")), """")"),"")</f>
        <v/>
      </c>
      <c r="O151" s="33" t="str">
        <f>IF(Account!$F151&lt;&gt;"", DATEVALUE(MID($A151,4,3) &amp; LEFT($A151,3) &amp; RIGHT($A151,4)) + TIMEVALUE($B151), "")</f>
        <v/>
      </c>
      <c r="P151" s="34" t="str">
        <f>IF(Account!$F151&lt;&gt;"", DATEVALUE(MID($C151,4,3) &amp; LEFT($C151,3) &amp; RIGHT($C151,4)), "")</f>
        <v/>
      </c>
      <c r="Q151" s="35" t="str">
        <f t="array" ref="Q151">IF($R151&lt;&gt;"",IFERROR(INDEX(ISIN!$B:$B,MATCH($R151,ISIN!$C:$C,0))),)</f>
        <v/>
      </c>
      <c r="R151" s="36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5" t="str">
        <f t="shared" si="1"/>
        <v/>
      </c>
      <c r="T151" s="37" t="str">
        <f t="shared" si="2"/>
        <v/>
      </c>
      <c r="U151" s="38" t="str">
        <f t="shared" si="3"/>
        <v/>
      </c>
      <c r="V151" s="32" t="str">
        <f t="shared" si="4"/>
        <v/>
      </c>
      <c r="W151" s="39" t="str">
        <f>IFERROR(__xludf.DUMMYFUNCTION(" IF(Account!$F151&lt;&gt;"""", SPLIT(Account!$F151, "" ""), """")"),"")</f>
        <v/>
      </c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</row>
    <row r="152">
      <c r="A152" s="12"/>
      <c r="B152" s="12"/>
      <c r="C152" s="12"/>
      <c r="D152" s="12"/>
      <c r="E152" s="12"/>
      <c r="F152" s="13"/>
      <c r="G152" s="12"/>
      <c r="H152" s="12"/>
      <c r="I152" s="12"/>
      <c r="J152" s="12"/>
      <c r="K152" s="12"/>
      <c r="L152" s="13"/>
      <c r="M152" s="30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2" t="str">
        <f>IFERROR(__xludf.DUMMYFUNCTION("IF(Account!$F152&lt;&gt;"""", VALUE(REGEXREPLACE($I152, ""\,"", ""."")), """")"),"")</f>
        <v/>
      </c>
      <c r="O152" s="33" t="str">
        <f>IF(Account!$F152&lt;&gt;"", DATEVALUE(MID($A152,4,3) &amp; LEFT($A152,3) &amp; RIGHT($A152,4)) + TIMEVALUE($B152), "")</f>
        <v/>
      </c>
      <c r="P152" s="34" t="str">
        <f>IF(Account!$F152&lt;&gt;"", DATEVALUE(MID($C152,4,3) &amp; LEFT($C152,3) &amp; RIGHT($C152,4)), "")</f>
        <v/>
      </c>
      <c r="Q152" s="35" t="str">
        <f t="array" ref="Q152">IF($R152&lt;&gt;"",IFERROR(INDEX(ISIN!$B:$B,MATCH($R152,ISIN!$C:$C,0))),)</f>
        <v/>
      </c>
      <c r="R152" s="36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5" t="str">
        <f t="shared" si="1"/>
        <v/>
      </c>
      <c r="T152" s="37" t="str">
        <f t="shared" si="2"/>
        <v/>
      </c>
      <c r="U152" s="38" t="str">
        <f t="shared" si="3"/>
        <v/>
      </c>
      <c r="V152" s="32" t="str">
        <f t="shared" si="4"/>
        <v/>
      </c>
      <c r="W152" s="39" t="str">
        <f>IFERROR(__xludf.DUMMYFUNCTION(" IF(Account!$F152&lt;&gt;"""", SPLIT(Account!$F152, "" ""), """")"),"")</f>
        <v/>
      </c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</row>
    <row r="153">
      <c r="A153" s="12"/>
      <c r="B153" s="12"/>
      <c r="C153" s="12"/>
      <c r="D153" s="12"/>
      <c r="E153" s="12"/>
      <c r="F153" s="13"/>
      <c r="G153" s="12"/>
      <c r="H153" s="12"/>
      <c r="I153" s="12"/>
      <c r="J153" s="12"/>
      <c r="K153" s="12"/>
      <c r="L153" s="13"/>
      <c r="M153" s="30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2" t="str">
        <f>IFERROR(__xludf.DUMMYFUNCTION("IF(Account!$F153&lt;&gt;"""", VALUE(REGEXREPLACE($I153, ""\,"", ""."")), """")"),"")</f>
        <v/>
      </c>
      <c r="O153" s="33" t="str">
        <f>IF(Account!$F153&lt;&gt;"", DATEVALUE(MID($A153,4,3) &amp; LEFT($A153,3) &amp; RIGHT($A153,4)) + TIMEVALUE($B153), "")</f>
        <v/>
      </c>
      <c r="P153" s="34" t="str">
        <f>IF(Account!$F153&lt;&gt;"", DATEVALUE(MID($C153,4,3) &amp; LEFT($C153,3) &amp; RIGHT($C153,4)), "")</f>
        <v/>
      </c>
      <c r="Q153" s="35" t="str">
        <f t="array" ref="Q153">IF($R153&lt;&gt;"",IFERROR(INDEX(ISIN!$B:$B,MATCH($R153,ISIN!$C:$C,0))),)</f>
        <v/>
      </c>
      <c r="R153" s="36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5" t="str">
        <f t="shared" si="1"/>
        <v/>
      </c>
      <c r="T153" s="37" t="str">
        <f t="shared" si="2"/>
        <v/>
      </c>
      <c r="U153" s="38" t="str">
        <f t="shared" si="3"/>
        <v/>
      </c>
      <c r="V153" s="32" t="str">
        <f t="shared" si="4"/>
        <v/>
      </c>
      <c r="W153" s="39" t="str">
        <f>IFERROR(__xludf.DUMMYFUNCTION(" IF(Account!$F153&lt;&gt;"""", SPLIT(Account!$F153, "" ""), """")"),"")</f>
        <v/>
      </c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</row>
    <row r="154">
      <c r="A154" s="12"/>
      <c r="B154" s="12"/>
      <c r="C154" s="12"/>
      <c r="D154" s="12"/>
      <c r="E154" s="12"/>
      <c r="F154" s="13"/>
      <c r="G154" s="12"/>
      <c r="H154" s="12"/>
      <c r="I154" s="12"/>
      <c r="J154" s="12"/>
      <c r="K154" s="12"/>
      <c r="L154" s="13"/>
      <c r="M154" s="30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2" t="str">
        <f>IFERROR(__xludf.DUMMYFUNCTION("IF(Account!$F154&lt;&gt;"""", VALUE(REGEXREPLACE($I154, ""\,"", ""."")), """")"),"")</f>
        <v/>
      </c>
      <c r="O154" s="33" t="str">
        <f>IF(Account!$F154&lt;&gt;"", DATEVALUE(MID($A154,4,3) &amp; LEFT($A154,3) &amp; RIGHT($A154,4)) + TIMEVALUE($B154), "")</f>
        <v/>
      </c>
      <c r="P154" s="34" t="str">
        <f>IF(Account!$F154&lt;&gt;"", DATEVALUE(MID($C154,4,3) &amp; LEFT($C154,3) &amp; RIGHT($C154,4)), "")</f>
        <v/>
      </c>
      <c r="Q154" s="35" t="str">
        <f t="array" ref="Q154">IF($R154&lt;&gt;"",IFERROR(INDEX(ISIN!$B:$B,MATCH($R154,ISIN!$C:$C,0))),)</f>
        <v/>
      </c>
      <c r="R154" s="36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5" t="str">
        <f t="shared" si="1"/>
        <v/>
      </c>
      <c r="T154" s="37" t="str">
        <f t="shared" si="2"/>
        <v/>
      </c>
      <c r="U154" s="38" t="str">
        <f t="shared" si="3"/>
        <v/>
      </c>
      <c r="V154" s="32" t="str">
        <f t="shared" si="4"/>
        <v/>
      </c>
      <c r="W154" s="39" t="str">
        <f>IFERROR(__xludf.DUMMYFUNCTION(" IF(Account!$F154&lt;&gt;"""", SPLIT(Account!$F154, "" ""), """")"),"")</f>
        <v/>
      </c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</row>
    <row r="155">
      <c r="A155" s="12"/>
      <c r="B155" s="12"/>
      <c r="C155" s="12"/>
      <c r="D155" s="12"/>
      <c r="E155" s="12"/>
      <c r="F155" s="13"/>
      <c r="G155" s="12"/>
      <c r="H155" s="12"/>
      <c r="I155" s="12"/>
      <c r="J155" s="12"/>
      <c r="K155" s="12"/>
      <c r="L155" s="13"/>
      <c r="M155" s="30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2" t="str">
        <f>IFERROR(__xludf.DUMMYFUNCTION("IF(Account!$F155&lt;&gt;"""", VALUE(REGEXREPLACE($I155, ""\,"", ""."")), """")"),"")</f>
        <v/>
      </c>
      <c r="O155" s="33" t="str">
        <f>IF(Account!$F155&lt;&gt;"", DATEVALUE(MID($A155,4,3) &amp; LEFT($A155,3) &amp; RIGHT($A155,4)) + TIMEVALUE($B155), "")</f>
        <v/>
      </c>
      <c r="P155" s="34" t="str">
        <f>IF(Account!$F155&lt;&gt;"", DATEVALUE(MID($C155,4,3) &amp; LEFT($C155,3) &amp; RIGHT($C155,4)), "")</f>
        <v/>
      </c>
      <c r="Q155" s="35" t="str">
        <f t="array" ref="Q155">IF($R155&lt;&gt;"",IFERROR(INDEX(ISIN!$B:$B,MATCH($R155,ISIN!$C:$C,0))),)</f>
        <v/>
      </c>
      <c r="R155" s="36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5" t="str">
        <f t="shared" si="1"/>
        <v/>
      </c>
      <c r="T155" s="37" t="str">
        <f t="shared" si="2"/>
        <v/>
      </c>
      <c r="U155" s="38" t="str">
        <f t="shared" si="3"/>
        <v/>
      </c>
      <c r="V155" s="32" t="str">
        <f t="shared" si="4"/>
        <v/>
      </c>
      <c r="W155" s="39" t="str">
        <f>IFERROR(__xludf.DUMMYFUNCTION(" IF(Account!$F155&lt;&gt;"""", SPLIT(Account!$F155, "" ""), """")"),"")</f>
        <v/>
      </c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</row>
    <row r="156">
      <c r="A156" s="12"/>
      <c r="B156" s="12"/>
      <c r="C156" s="12"/>
      <c r="D156" s="12"/>
      <c r="E156" s="12"/>
      <c r="F156" s="13"/>
      <c r="G156" s="12"/>
      <c r="H156" s="12"/>
      <c r="I156" s="12"/>
      <c r="J156" s="12"/>
      <c r="K156" s="12"/>
      <c r="L156" s="13"/>
      <c r="M156" s="30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2" t="str">
        <f>IFERROR(__xludf.DUMMYFUNCTION("IF(Account!$F156&lt;&gt;"""", VALUE(REGEXREPLACE($I156, ""\,"", ""."")), """")"),"")</f>
        <v/>
      </c>
      <c r="O156" s="33" t="str">
        <f>IF(Account!$F156&lt;&gt;"", DATEVALUE(MID($A156,4,3) &amp; LEFT($A156,3) &amp; RIGHT($A156,4)) + TIMEVALUE($B156), "")</f>
        <v/>
      </c>
      <c r="P156" s="34" t="str">
        <f>IF(Account!$F156&lt;&gt;"", DATEVALUE(MID($C156,4,3) &amp; LEFT($C156,3) &amp; RIGHT($C156,4)), "")</f>
        <v/>
      </c>
      <c r="Q156" s="35" t="str">
        <f t="array" ref="Q156">IF($R156&lt;&gt;"",IFERROR(INDEX(ISIN!$B:$B,MATCH($R156,ISIN!$C:$C,0))),)</f>
        <v/>
      </c>
      <c r="R156" s="36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5" t="str">
        <f t="shared" si="1"/>
        <v/>
      </c>
      <c r="T156" s="37" t="str">
        <f t="shared" si="2"/>
        <v/>
      </c>
      <c r="U156" s="38" t="str">
        <f t="shared" si="3"/>
        <v/>
      </c>
      <c r="V156" s="32" t="str">
        <f t="shared" si="4"/>
        <v/>
      </c>
      <c r="W156" s="39" t="str">
        <f>IFERROR(__xludf.DUMMYFUNCTION(" IF(Account!$F156&lt;&gt;"""", SPLIT(Account!$F156, "" ""), """")"),"")</f>
        <v/>
      </c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>
      <c r="A157" s="12"/>
      <c r="B157" s="12"/>
      <c r="C157" s="12"/>
      <c r="D157" s="12"/>
      <c r="E157" s="12"/>
      <c r="F157" s="13"/>
      <c r="G157" s="12"/>
      <c r="H157" s="12"/>
      <c r="I157" s="12"/>
      <c r="J157" s="12"/>
      <c r="K157" s="12"/>
      <c r="L157" s="13"/>
      <c r="M157" s="30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2" t="str">
        <f>IFERROR(__xludf.DUMMYFUNCTION("IF(Account!$F157&lt;&gt;"""", VALUE(REGEXREPLACE($I157, ""\,"", ""."")), """")"),"")</f>
        <v/>
      </c>
      <c r="O157" s="33" t="str">
        <f>IF(Account!$F157&lt;&gt;"", DATEVALUE(MID($A157,4,3) &amp; LEFT($A157,3) &amp; RIGHT($A157,4)) + TIMEVALUE($B157), "")</f>
        <v/>
      </c>
      <c r="P157" s="34" t="str">
        <f>IF(Account!$F157&lt;&gt;"", DATEVALUE(MID($C157,4,3) &amp; LEFT($C157,3) &amp; RIGHT($C157,4)), "")</f>
        <v/>
      </c>
      <c r="Q157" s="35" t="str">
        <f t="array" ref="Q157">IF($R157&lt;&gt;"",IFERROR(INDEX(ISIN!$B:$B,MATCH($R157,ISIN!$C:$C,0))),)</f>
        <v/>
      </c>
      <c r="R157" s="36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5" t="str">
        <f t="shared" si="1"/>
        <v/>
      </c>
      <c r="T157" s="37" t="str">
        <f t="shared" si="2"/>
        <v/>
      </c>
      <c r="U157" s="38" t="str">
        <f t="shared" si="3"/>
        <v/>
      </c>
      <c r="V157" s="32" t="str">
        <f t="shared" si="4"/>
        <v/>
      </c>
      <c r="W157" s="39" t="str">
        <f>IFERROR(__xludf.DUMMYFUNCTION(" IF(Account!$F157&lt;&gt;"""", SPLIT(Account!$F157, "" ""), """")"),"")</f>
        <v/>
      </c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</row>
    <row r="158">
      <c r="A158" s="12"/>
      <c r="B158" s="12"/>
      <c r="C158" s="12"/>
      <c r="D158" s="12"/>
      <c r="E158" s="12"/>
      <c r="F158" s="13"/>
      <c r="G158" s="12"/>
      <c r="H158" s="12"/>
      <c r="I158" s="12"/>
      <c r="J158" s="12"/>
      <c r="K158" s="12"/>
      <c r="L158" s="13"/>
      <c r="M158" s="30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2" t="str">
        <f>IFERROR(__xludf.DUMMYFUNCTION("IF(Account!$F158&lt;&gt;"""", VALUE(REGEXREPLACE($I158, ""\,"", ""."")), """")"),"")</f>
        <v/>
      </c>
      <c r="O158" s="33" t="str">
        <f>IF(Account!$F158&lt;&gt;"", DATEVALUE(MID($A158,4,3) &amp; LEFT($A158,3) &amp; RIGHT($A158,4)) + TIMEVALUE($B158), "")</f>
        <v/>
      </c>
      <c r="P158" s="34" t="str">
        <f>IF(Account!$F158&lt;&gt;"", DATEVALUE(MID($C158,4,3) &amp; LEFT($C158,3) &amp; RIGHT($C158,4)), "")</f>
        <v/>
      </c>
      <c r="Q158" s="35" t="str">
        <f t="array" ref="Q158">IF($R158&lt;&gt;"",IFERROR(INDEX(ISIN!$B:$B,MATCH($R158,ISIN!$C:$C,0))),)</f>
        <v/>
      </c>
      <c r="R158" s="36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5" t="str">
        <f t="shared" si="1"/>
        <v/>
      </c>
      <c r="T158" s="37" t="str">
        <f t="shared" si="2"/>
        <v/>
      </c>
      <c r="U158" s="38" t="str">
        <f t="shared" si="3"/>
        <v/>
      </c>
      <c r="V158" s="32" t="str">
        <f t="shared" si="4"/>
        <v/>
      </c>
      <c r="W158" s="39" t="str">
        <f>IFERROR(__xludf.DUMMYFUNCTION(" IF(Account!$F158&lt;&gt;"""", SPLIT(Account!$F158, "" ""), """")"),"")</f>
        <v/>
      </c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</row>
    <row r="159">
      <c r="A159" s="12"/>
      <c r="B159" s="12"/>
      <c r="C159" s="12"/>
      <c r="D159" s="12"/>
      <c r="E159" s="12"/>
      <c r="F159" s="13"/>
      <c r="G159" s="12"/>
      <c r="H159" s="12"/>
      <c r="I159" s="12"/>
      <c r="J159" s="12"/>
      <c r="K159" s="12"/>
      <c r="L159" s="13"/>
      <c r="M159" s="30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2" t="str">
        <f>IFERROR(__xludf.DUMMYFUNCTION("IF(Account!$F159&lt;&gt;"""", VALUE(REGEXREPLACE($I159, ""\,"", ""."")), """")"),"")</f>
        <v/>
      </c>
      <c r="O159" s="33" t="str">
        <f>IF(Account!$F159&lt;&gt;"", DATEVALUE(MID($A159,4,3) &amp; LEFT($A159,3) &amp; RIGHT($A159,4)) + TIMEVALUE($B159), "")</f>
        <v/>
      </c>
      <c r="P159" s="34" t="str">
        <f>IF(Account!$F159&lt;&gt;"", DATEVALUE(MID($C159,4,3) &amp; LEFT($C159,3) &amp; RIGHT($C159,4)), "")</f>
        <v/>
      </c>
      <c r="Q159" s="35" t="str">
        <f t="array" ref="Q159">IF($R159&lt;&gt;"",IFERROR(INDEX(ISIN!$B:$B,MATCH($R159,ISIN!$C:$C,0))),)</f>
        <v/>
      </c>
      <c r="R159" s="36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5" t="str">
        <f t="shared" si="1"/>
        <v/>
      </c>
      <c r="T159" s="37" t="str">
        <f t="shared" si="2"/>
        <v/>
      </c>
      <c r="U159" s="38" t="str">
        <f t="shared" si="3"/>
        <v/>
      </c>
      <c r="V159" s="32" t="str">
        <f t="shared" si="4"/>
        <v/>
      </c>
      <c r="W159" s="39" t="str">
        <f>IFERROR(__xludf.DUMMYFUNCTION(" IF(Account!$F159&lt;&gt;"""", SPLIT(Account!$F159, "" ""), """")"),"")</f>
        <v/>
      </c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</row>
    <row r="160">
      <c r="A160" s="12"/>
      <c r="B160" s="12"/>
      <c r="C160" s="12"/>
      <c r="D160" s="12"/>
      <c r="E160" s="12"/>
      <c r="F160" s="13"/>
      <c r="G160" s="12"/>
      <c r="H160" s="12"/>
      <c r="I160" s="12"/>
      <c r="J160" s="12"/>
      <c r="K160" s="12"/>
      <c r="L160" s="13"/>
      <c r="M160" s="30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2" t="str">
        <f>IFERROR(__xludf.DUMMYFUNCTION("IF(Account!$F160&lt;&gt;"""", VALUE(REGEXREPLACE($I160, ""\,"", ""."")), """")"),"")</f>
        <v/>
      </c>
      <c r="O160" s="33" t="str">
        <f>IF(Account!$F160&lt;&gt;"", DATEVALUE(MID($A160,4,3) &amp; LEFT($A160,3) &amp; RIGHT($A160,4)) + TIMEVALUE($B160), "")</f>
        <v/>
      </c>
      <c r="P160" s="34" t="str">
        <f>IF(Account!$F160&lt;&gt;"", DATEVALUE(MID($C160,4,3) &amp; LEFT($C160,3) &amp; RIGHT($C160,4)), "")</f>
        <v/>
      </c>
      <c r="Q160" s="35" t="str">
        <f t="array" ref="Q160">IF($R160&lt;&gt;"",IFERROR(INDEX(ISIN!$B:$B,MATCH($R160,ISIN!$C:$C,0))),)</f>
        <v/>
      </c>
      <c r="R160" s="36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5" t="str">
        <f t="shared" si="1"/>
        <v/>
      </c>
      <c r="T160" s="37" t="str">
        <f t="shared" si="2"/>
        <v/>
      </c>
      <c r="U160" s="38" t="str">
        <f t="shared" si="3"/>
        <v/>
      </c>
      <c r="V160" s="32" t="str">
        <f t="shared" si="4"/>
        <v/>
      </c>
      <c r="W160" s="39" t="str">
        <f>IFERROR(__xludf.DUMMYFUNCTION(" IF(Account!$F160&lt;&gt;"""", SPLIT(Account!$F160, "" ""), """")"),"")</f>
        <v/>
      </c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</row>
    <row r="161">
      <c r="A161" s="12"/>
      <c r="B161" s="12"/>
      <c r="C161" s="12"/>
      <c r="D161" s="12"/>
      <c r="E161" s="12"/>
      <c r="F161" s="13"/>
      <c r="G161" s="12"/>
      <c r="H161" s="12"/>
      <c r="I161" s="12"/>
      <c r="J161" s="12"/>
      <c r="K161" s="12"/>
      <c r="L161" s="13"/>
      <c r="M161" s="30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2" t="str">
        <f>IFERROR(__xludf.DUMMYFUNCTION("IF(Account!$F161&lt;&gt;"""", VALUE(REGEXREPLACE($I161, ""\,"", ""."")), """")"),"")</f>
        <v/>
      </c>
      <c r="O161" s="33" t="str">
        <f>IF(Account!$F161&lt;&gt;"", DATEVALUE(MID($A161,4,3) &amp; LEFT($A161,3) &amp; RIGHT($A161,4)) + TIMEVALUE($B161), "")</f>
        <v/>
      </c>
      <c r="P161" s="34" t="str">
        <f>IF(Account!$F161&lt;&gt;"", DATEVALUE(MID($C161,4,3) &amp; LEFT($C161,3) &amp; RIGHT($C161,4)), "")</f>
        <v/>
      </c>
      <c r="Q161" s="35" t="str">
        <f t="array" ref="Q161">IF($R161&lt;&gt;"",IFERROR(INDEX(ISIN!$B:$B,MATCH($R161,ISIN!$C:$C,0))),)</f>
        <v/>
      </c>
      <c r="R161" s="36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5" t="str">
        <f t="shared" si="1"/>
        <v/>
      </c>
      <c r="T161" s="37" t="str">
        <f t="shared" si="2"/>
        <v/>
      </c>
      <c r="U161" s="38" t="str">
        <f t="shared" si="3"/>
        <v/>
      </c>
      <c r="V161" s="32" t="str">
        <f t="shared" si="4"/>
        <v/>
      </c>
      <c r="W161" s="39" t="str">
        <f>IFERROR(__xludf.DUMMYFUNCTION(" IF(Account!$F161&lt;&gt;"""", SPLIT(Account!$F161, "" ""), """")"),"")</f>
        <v/>
      </c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</row>
    <row r="162">
      <c r="A162" s="12"/>
      <c r="B162" s="12"/>
      <c r="C162" s="12"/>
      <c r="D162" s="12"/>
      <c r="E162" s="12"/>
      <c r="F162" s="13"/>
      <c r="G162" s="12"/>
      <c r="H162" s="12"/>
      <c r="I162" s="12"/>
      <c r="J162" s="12"/>
      <c r="K162" s="12"/>
      <c r="L162" s="13"/>
      <c r="M162" s="30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2" t="str">
        <f>IFERROR(__xludf.DUMMYFUNCTION("IF(Account!$F162&lt;&gt;"""", VALUE(REGEXREPLACE($I162, ""\,"", ""."")), """")"),"")</f>
        <v/>
      </c>
      <c r="O162" s="33" t="str">
        <f>IF(Account!$F162&lt;&gt;"", DATEVALUE(MID($A162,4,3) &amp; LEFT($A162,3) &amp; RIGHT($A162,4)) + TIMEVALUE($B162), "")</f>
        <v/>
      </c>
      <c r="P162" s="34" t="str">
        <f>IF(Account!$F162&lt;&gt;"", DATEVALUE(MID($C162,4,3) &amp; LEFT($C162,3) &amp; RIGHT($C162,4)), "")</f>
        <v/>
      </c>
      <c r="Q162" s="35" t="str">
        <f t="array" ref="Q162">IF($R162&lt;&gt;"",IFERROR(INDEX(ISIN!$B:$B,MATCH($R162,ISIN!$C:$C,0))),)</f>
        <v/>
      </c>
      <c r="R162" s="36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5" t="str">
        <f t="shared" si="1"/>
        <v/>
      </c>
      <c r="T162" s="37" t="str">
        <f t="shared" si="2"/>
        <v/>
      </c>
      <c r="U162" s="38" t="str">
        <f t="shared" si="3"/>
        <v/>
      </c>
      <c r="V162" s="32" t="str">
        <f t="shared" si="4"/>
        <v/>
      </c>
      <c r="W162" s="39" t="str">
        <f>IFERROR(__xludf.DUMMYFUNCTION(" IF(Account!$F162&lt;&gt;"""", SPLIT(Account!$F162, "" ""), """")"),"")</f>
        <v/>
      </c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</row>
    <row r="163">
      <c r="A163" s="12"/>
      <c r="B163" s="12"/>
      <c r="C163" s="12"/>
      <c r="D163" s="12"/>
      <c r="E163" s="12"/>
      <c r="F163" s="13"/>
      <c r="G163" s="12"/>
      <c r="H163" s="12"/>
      <c r="I163" s="12"/>
      <c r="J163" s="12"/>
      <c r="K163" s="12"/>
      <c r="L163" s="13"/>
      <c r="M163" s="30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2" t="str">
        <f>IFERROR(__xludf.DUMMYFUNCTION("IF(Account!$F163&lt;&gt;"""", VALUE(REGEXREPLACE($I163, ""\,"", ""."")), """")"),"")</f>
        <v/>
      </c>
      <c r="O163" s="33" t="str">
        <f>IF(Account!$F163&lt;&gt;"", DATEVALUE(MID($A163,4,3) &amp; LEFT($A163,3) &amp; RIGHT($A163,4)) + TIMEVALUE($B163), "")</f>
        <v/>
      </c>
      <c r="P163" s="34" t="str">
        <f>IF(Account!$F163&lt;&gt;"", DATEVALUE(MID($C163,4,3) &amp; LEFT($C163,3) &amp; RIGHT($C163,4)), "")</f>
        <v/>
      </c>
      <c r="Q163" s="35" t="str">
        <f t="array" ref="Q163">IF($R163&lt;&gt;"",IFERROR(INDEX(ISIN!$B:$B,MATCH($R163,ISIN!$C:$C,0))),)</f>
        <v/>
      </c>
      <c r="R163" s="36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5" t="str">
        <f t="shared" si="1"/>
        <v/>
      </c>
      <c r="T163" s="37" t="str">
        <f t="shared" si="2"/>
        <v/>
      </c>
      <c r="U163" s="38" t="str">
        <f t="shared" si="3"/>
        <v/>
      </c>
      <c r="V163" s="32" t="str">
        <f t="shared" si="4"/>
        <v/>
      </c>
      <c r="W163" s="39" t="str">
        <f>IFERROR(__xludf.DUMMYFUNCTION(" IF(Account!$F163&lt;&gt;"""", SPLIT(Account!$F163, "" ""), """")"),"")</f>
        <v/>
      </c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</row>
    <row r="164">
      <c r="A164" s="12"/>
      <c r="B164" s="12"/>
      <c r="C164" s="12"/>
      <c r="D164" s="12"/>
      <c r="E164" s="12"/>
      <c r="F164" s="13"/>
      <c r="G164" s="12"/>
      <c r="H164" s="12"/>
      <c r="I164" s="12"/>
      <c r="J164" s="12"/>
      <c r="K164" s="12"/>
      <c r="L164" s="13"/>
      <c r="M164" s="30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2" t="str">
        <f>IFERROR(__xludf.DUMMYFUNCTION("IF(Account!$F164&lt;&gt;"""", VALUE(REGEXREPLACE($I164, ""\,"", ""."")), """")"),"")</f>
        <v/>
      </c>
      <c r="O164" s="33" t="str">
        <f>IF(Account!$F164&lt;&gt;"", DATEVALUE(MID($A164,4,3) &amp; LEFT($A164,3) &amp; RIGHT($A164,4)) + TIMEVALUE($B164), "")</f>
        <v/>
      </c>
      <c r="P164" s="34" t="str">
        <f>IF(Account!$F164&lt;&gt;"", DATEVALUE(MID($C164,4,3) &amp; LEFT($C164,3) &amp; RIGHT($C164,4)), "")</f>
        <v/>
      </c>
      <c r="Q164" s="35" t="str">
        <f t="array" ref="Q164">IF($R164&lt;&gt;"",IFERROR(INDEX(ISIN!$B:$B,MATCH($R164,ISIN!$C:$C,0))),)</f>
        <v/>
      </c>
      <c r="R164" s="36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5" t="str">
        <f t="shared" si="1"/>
        <v/>
      </c>
      <c r="T164" s="37" t="str">
        <f t="shared" si="2"/>
        <v/>
      </c>
      <c r="U164" s="38" t="str">
        <f t="shared" si="3"/>
        <v/>
      </c>
      <c r="V164" s="32" t="str">
        <f t="shared" si="4"/>
        <v/>
      </c>
      <c r="W164" s="39" t="str">
        <f>IFERROR(__xludf.DUMMYFUNCTION(" IF(Account!$F164&lt;&gt;"""", SPLIT(Account!$F164, "" ""), """")"),"")</f>
        <v/>
      </c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</row>
    <row r="165">
      <c r="A165" s="12"/>
      <c r="B165" s="12"/>
      <c r="C165" s="12"/>
      <c r="D165" s="12"/>
      <c r="E165" s="12"/>
      <c r="F165" s="13"/>
      <c r="G165" s="291"/>
      <c r="H165" s="12"/>
      <c r="I165" s="12"/>
      <c r="J165" s="12"/>
      <c r="K165" s="12"/>
      <c r="L165" s="13"/>
      <c r="M165" s="30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2" t="str">
        <f>IFERROR(__xludf.DUMMYFUNCTION("IF(Account!$F165&lt;&gt;"""", VALUE(REGEXREPLACE($I165, ""\,"", ""."")), """")"),"")</f>
        <v/>
      </c>
      <c r="O165" s="33" t="str">
        <f>IF(Account!$F165&lt;&gt;"", DATEVALUE(MID($A165,4,3) &amp; LEFT($A165,3) &amp; RIGHT($A165,4)) + TIMEVALUE($B165), "")</f>
        <v/>
      </c>
      <c r="P165" s="34" t="str">
        <f>IF(Account!$F165&lt;&gt;"", DATEVALUE(MID($C165,4,3) &amp; LEFT($C165,3) &amp; RIGHT($C165,4)), "")</f>
        <v/>
      </c>
      <c r="Q165" s="35" t="str">
        <f t="array" ref="Q165">IF($R165&lt;&gt;"",IFERROR(INDEX(ISIN!$B:$B,MATCH($R165,ISIN!$C:$C,0))),)</f>
        <v/>
      </c>
      <c r="R165" s="36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5" t="str">
        <f t="shared" si="1"/>
        <v/>
      </c>
      <c r="T165" s="37" t="str">
        <f t="shared" si="2"/>
        <v/>
      </c>
      <c r="U165" s="38" t="str">
        <f t="shared" si="3"/>
        <v/>
      </c>
      <c r="V165" s="32" t="str">
        <f t="shared" si="4"/>
        <v/>
      </c>
      <c r="W165" s="39" t="str">
        <f>IFERROR(__xludf.DUMMYFUNCTION(" IF(Account!$F165&lt;&gt;"""", SPLIT(Account!$F165, "" ""), """")"),"")</f>
        <v/>
      </c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</row>
    <row r="166">
      <c r="A166" s="12"/>
      <c r="B166" s="12"/>
      <c r="C166" s="12"/>
      <c r="D166" s="12"/>
      <c r="E166" s="12"/>
      <c r="F166" s="13"/>
      <c r="G166" s="12"/>
      <c r="H166" s="12"/>
      <c r="I166" s="12"/>
      <c r="J166" s="12"/>
      <c r="K166" s="12"/>
      <c r="L166" s="13"/>
      <c r="M166" s="30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2" t="str">
        <f>IFERROR(__xludf.DUMMYFUNCTION("IF(Account!$F166&lt;&gt;"""", VALUE(REGEXREPLACE($I166, ""\,"", ""."")), """")"),"")</f>
        <v/>
      </c>
      <c r="O166" s="33" t="str">
        <f>IF(Account!$F166&lt;&gt;"", DATEVALUE(MID($A166,4,3) &amp; LEFT($A166,3) &amp; RIGHT($A166,4)) + TIMEVALUE($B166), "")</f>
        <v/>
      </c>
      <c r="P166" s="34" t="str">
        <f>IF(Account!$F166&lt;&gt;"", DATEVALUE(MID($C166,4,3) &amp; LEFT($C166,3) &amp; RIGHT($C166,4)), "")</f>
        <v/>
      </c>
      <c r="Q166" s="35" t="str">
        <f t="array" ref="Q166">IF($R166&lt;&gt;"",IFERROR(INDEX(ISIN!$B:$B,MATCH($R166,ISIN!$C:$C,0))),)</f>
        <v/>
      </c>
      <c r="R166" s="36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5" t="str">
        <f t="shared" si="1"/>
        <v/>
      </c>
      <c r="T166" s="37" t="str">
        <f t="shared" si="2"/>
        <v/>
      </c>
      <c r="U166" s="38" t="str">
        <f t="shared" si="3"/>
        <v/>
      </c>
      <c r="V166" s="32" t="str">
        <f t="shared" si="4"/>
        <v/>
      </c>
      <c r="W166" s="39" t="str">
        <f>IFERROR(__xludf.DUMMYFUNCTION(" IF(Account!$F166&lt;&gt;"""", SPLIT(Account!$F166, "" ""), """")"),"")</f>
        <v/>
      </c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</row>
    <row r="167">
      <c r="A167" s="12"/>
      <c r="B167" s="12"/>
      <c r="C167" s="12"/>
      <c r="D167" s="12"/>
      <c r="E167" s="12"/>
      <c r="F167" s="13"/>
      <c r="G167" s="291"/>
      <c r="H167" s="12"/>
      <c r="I167" s="12"/>
      <c r="J167" s="12"/>
      <c r="K167" s="12"/>
      <c r="L167" s="13"/>
      <c r="M167" s="30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2" t="str">
        <f>IFERROR(__xludf.DUMMYFUNCTION("IF(Account!$F167&lt;&gt;"""", VALUE(REGEXREPLACE($I167, ""\,"", ""."")), """")"),"")</f>
        <v/>
      </c>
      <c r="O167" s="33" t="str">
        <f>IF(Account!$F167&lt;&gt;"", DATEVALUE(MID($A167,4,3) &amp; LEFT($A167,3) &amp; RIGHT($A167,4)) + TIMEVALUE($B167), "")</f>
        <v/>
      </c>
      <c r="P167" s="34" t="str">
        <f>IF(Account!$F167&lt;&gt;"", DATEVALUE(MID($C167,4,3) &amp; LEFT($C167,3) &amp; RIGHT($C167,4)), "")</f>
        <v/>
      </c>
      <c r="Q167" s="35" t="str">
        <f t="array" ref="Q167">IF($R167&lt;&gt;"",IFERROR(INDEX(ISIN!$B:$B,MATCH($R167,ISIN!$C:$C,0))),)</f>
        <v/>
      </c>
      <c r="R167" s="36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5" t="str">
        <f t="shared" si="1"/>
        <v/>
      </c>
      <c r="T167" s="37" t="str">
        <f t="shared" si="2"/>
        <v/>
      </c>
      <c r="U167" s="38" t="str">
        <f t="shared" si="3"/>
        <v/>
      </c>
      <c r="V167" s="32" t="str">
        <f t="shared" si="4"/>
        <v/>
      </c>
      <c r="W167" s="39" t="str">
        <f>IFERROR(__xludf.DUMMYFUNCTION(" IF(Account!$F167&lt;&gt;"""", SPLIT(Account!$F167, "" ""), """")"),"")</f>
        <v/>
      </c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</row>
    <row r="168">
      <c r="A168" s="12"/>
      <c r="B168" s="12"/>
      <c r="C168" s="12"/>
      <c r="D168" s="12"/>
      <c r="E168" s="12"/>
      <c r="F168" s="13"/>
      <c r="G168" s="12"/>
      <c r="H168" s="12"/>
      <c r="I168" s="12"/>
      <c r="J168" s="12"/>
      <c r="K168" s="12"/>
      <c r="L168" s="13"/>
      <c r="M168" s="30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2" t="str">
        <f>IFERROR(__xludf.DUMMYFUNCTION("IF(Account!$F168&lt;&gt;"""", VALUE(REGEXREPLACE($I168, ""\,"", ""."")), """")"),"")</f>
        <v/>
      </c>
      <c r="O168" s="33" t="str">
        <f>IF(Account!$F168&lt;&gt;"", DATEVALUE(MID($A168,4,3) &amp; LEFT($A168,3) &amp; RIGHT($A168,4)) + TIMEVALUE($B168), "")</f>
        <v/>
      </c>
      <c r="P168" s="34" t="str">
        <f>IF(Account!$F168&lt;&gt;"", DATEVALUE(MID($C168,4,3) &amp; LEFT($C168,3) &amp; RIGHT($C168,4)), "")</f>
        <v/>
      </c>
      <c r="Q168" s="35" t="str">
        <f t="array" ref="Q168">IF($R168&lt;&gt;"",IFERROR(INDEX(ISIN!$B:$B,MATCH($R168,ISIN!$C:$C,0))),)</f>
        <v/>
      </c>
      <c r="R168" s="36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5" t="str">
        <f t="shared" si="1"/>
        <v/>
      </c>
      <c r="T168" s="37" t="str">
        <f t="shared" si="2"/>
        <v/>
      </c>
      <c r="U168" s="38" t="str">
        <f t="shared" si="3"/>
        <v/>
      </c>
      <c r="V168" s="32" t="str">
        <f t="shared" si="4"/>
        <v/>
      </c>
      <c r="W168" s="39" t="str">
        <f>IFERROR(__xludf.DUMMYFUNCTION(" IF(Account!$F168&lt;&gt;"""", SPLIT(Account!$F168, "" ""), """")"),"")</f>
        <v/>
      </c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</row>
    <row r="169">
      <c r="A169" s="12"/>
      <c r="B169" s="12"/>
      <c r="C169" s="12"/>
      <c r="D169" s="12"/>
      <c r="E169" s="12"/>
      <c r="F169" s="13"/>
      <c r="G169" s="12"/>
      <c r="H169" s="12"/>
      <c r="I169" s="12"/>
      <c r="J169" s="12"/>
      <c r="K169" s="12"/>
      <c r="L169" s="13"/>
      <c r="M169" s="30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2" t="str">
        <f>IFERROR(__xludf.DUMMYFUNCTION("IF(Account!$F169&lt;&gt;"""", VALUE(REGEXREPLACE($I169, ""\,"", ""."")), """")"),"")</f>
        <v/>
      </c>
      <c r="O169" s="33" t="str">
        <f>IF(Account!$F169&lt;&gt;"", DATEVALUE(MID($A169,4,3) &amp; LEFT($A169,3) &amp; RIGHT($A169,4)) + TIMEVALUE($B169), "")</f>
        <v/>
      </c>
      <c r="P169" s="34" t="str">
        <f>IF(Account!$F169&lt;&gt;"", DATEVALUE(MID($C169,4,3) &amp; LEFT($C169,3) &amp; RIGHT($C169,4)), "")</f>
        <v/>
      </c>
      <c r="Q169" s="35" t="str">
        <f t="array" ref="Q169">IF($R169&lt;&gt;"",IFERROR(INDEX(ISIN!$B:$B,MATCH($R169,ISIN!$C:$C,0))),)</f>
        <v/>
      </c>
      <c r="R169" s="36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5" t="str">
        <f t="shared" si="1"/>
        <v/>
      </c>
      <c r="T169" s="37" t="str">
        <f t="shared" si="2"/>
        <v/>
      </c>
      <c r="U169" s="38" t="str">
        <f t="shared" si="3"/>
        <v/>
      </c>
      <c r="V169" s="32" t="str">
        <f t="shared" si="4"/>
        <v/>
      </c>
      <c r="W169" s="39" t="str">
        <f>IFERROR(__xludf.DUMMYFUNCTION(" IF(Account!$F169&lt;&gt;"""", SPLIT(Account!$F169, "" ""), """")"),"")</f>
        <v/>
      </c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</row>
    <row r="170">
      <c r="A170" s="12"/>
      <c r="B170" s="12"/>
      <c r="C170" s="12"/>
      <c r="D170" s="12"/>
      <c r="E170" s="12"/>
      <c r="F170" s="13"/>
      <c r="G170" s="12"/>
      <c r="H170" s="12"/>
      <c r="I170" s="12"/>
      <c r="J170" s="12"/>
      <c r="K170" s="12"/>
      <c r="L170" s="13"/>
      <c r="M170" s="30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2" t="str">
        <f>IFERROR(__xludf.DUMMYFUNCTION("IF(Account!$F170&lt;&gt;"""", VALUE(REGEXREPLACE($I170, ""\,"", ""."")), """")"),"")</f>
        <v/>
      </c>
      <c r="O170" s="33" t="str">
        <f>IF(Account!$F170&lt;&gt;"", DATEVALUE(MID($A170,4,3) &amp; LEFT($A170,3) &amp; RIGHT($A170,4)) + TIMEVALUE($B170), "")</f>
        <v/>
      </c>
      <c r="P170" s="34" t="str">
        <f>IF(Account!$F170&lt;&gt;"", DATEVALUE(MID($C170,4,3) &amp; LEFT($C170,3) &amp; RIGHT($C170,4)), "")</f>
        <v/>
      </c>
      <c r="Q170" s="35" t="str">
        <f t="array" ref="Q170">IF($R170&lt;&gt;"",IFERROR(INDEX(ISIN!$B:$B,MATCH($R170,ISIN!$C:$C,0))),)</f>
        <v/>
      </c>
      <c r="R170" s="36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5" t="str">
        <f t="shared" si="1"/>
        <v/>
      </c>
      <c r="T170" s="37" t="str">
        <f t="shared" si="2"/>
        <v/>
      </c>
      <c r="U170" s="38" t="str">
        <f t="shared" si="3"/>
        <v/>
      </c>
      <c r="V170" s="32" t="str">
        <f t="shared" si="4"/>
        <v/>
      </c>
      <c r="W170" s="39" t="str">
        <f>IFERROR(__xludf.DUMMYFUNCTION(" IF(Account!$F170&lt;&gt;"""", SPLIT(Account!$F170, "" ""), """")"),"")</f>
        <v/>
      </c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</row>
    <row r="171">
      <c r="A171" s="12"/>
      <c r="B171" s="12"/>
      <c r="C171" s="12"/>
      <c r="D171" s="12"/>
      <c r="E171" s="12"/>
      <c r="F171" s="13"/>
      <c r="G171" s="291"/>
      <c r="H171" s="12"/>
      <c r="I171" s="12"/>
      <c r="J171" s="12"/>
      <c r="K171" s="12"/>
      <c r="L171" s="13"/>
      <c r="M171" s="30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2" t="str">
        <f>IFERROR(__xludf.DUMMYFUNCTION("IF(Account!$F171&lt;&gt;"""", VALUE(REGEXREPLACE($I171, ""\,"", ""."")), """")"),"")</f>
        <v/>
      </c>
      <c r="O171" s="33" t="str">
        <f>IF(Account!$F171&lt;&gt;"", DATEVALUE(MID($A171,4,3) &amp; LEFT($A171,3) &amp; RIGHT($A171,4)) + TIMEVALUE($B171), "")</f>
        <v/>
      </c>
      <c r="P171" s="34" t="str">
        <f>IF(Account!$F171&lt;&gt;"", DATEVALUE(MID($C171,4,3) &amp; LEFT($C171,3) &amp; RIGHT($C171,4)), "")</f>
        <v/>
      </c>
      <c r="Q171" s="35" t="str">
        <f t="array" ref="Q171">IF($R171&lt;&gt;"",IFERROR(INDEX(ISIN!$B:$B,MATCH($R171,ISIN!$C:$C,0))),)</f>
        <v/>
      </c>
      <c r="R171" s="36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5" t="str">
        <f t="shared" si="1"/>
        <v/>
      </c>
      <c r="T171" s="37" t="str">
        <f t="shared" si="2"/>
        <v/>
      </c>
      <c r="U171" s="38" t="str">
        <f t="shared" si="3"/>
        <v/>
      </c>
      <c r="V171" s="32" t="str">
        <f t="shared" si="4"/>
        <v/>
      </c>
      <c r="W171" s="39" t="str">
        <f>IFERROR(__xludf.DUMMYFUNCTION(" IF(Account!$F171&lt;&gt;"""", SPLIT(Account!$F171, "" ""), """")"),"")</f>
        <v/>
      </c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</row>
    <row r="172">
      <c r="A172" s="12"/>
      <c r="B172" s="12"/>
      <c r="C172" s="12"/>
      <c r="D172" s="12"/>
      <c r="E172" s="12"/>
      <c r="F172" s="13"/>
      <c r="G172" s="12"/>
      <c r="H172" s="12"/>
      <c r="I172" s="12"/>
      <c r="J172" s="12"/>
      <c r="K172" s="12"/>
      <c r="L172" s="13"/>
      <c r="M172" s="30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2" t="str">
        <f>IFERROR(__xludf.DUMMYFUNCTION("IF(Account!$F172&lt;&gt;"""", VALUE(REGEXREPLACE($I172, ""\,"", ""."")), """")"),"")</f>
        <v/>
      </c>
      <c r="O172" s="33" t="str">
        <f>IF(Account!$F172&lt;&gt;"", DATEVALUE(MID($A172,4,3) &amp; LEFT($A172,3) &amp; RIGHT($A172,4)) + TIMEVALUE($B172), "")</f>
        <v/>
      </c>
      <c r="P172" s="34" t="str">
        <f>IF(Account!$F172&lt;&gt;"", DATEVALUE(MID($C172,4,3) &amp; LEFT($C172,3) &amp; RIGHT($C172,4)), "")</f>
        <v/>
      </c>
      <c r="Q172" s="35" t="str">
        <f t="array" ref="Q172">IF($R172&lt;&gt;"",IFERROR(INDEX(ISIN!$B:$B,MATCH($R172,ISIN!$C:$C,0))),)</f>
        <v/>
      </c>
      <c r="R172" s="36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5" t="str">
        <f t="shared" si="1"/>
        <v/>
      </c>
      <c r="T172" s="37" t="str">
        <f t="shared" si="2"/>
        <v/>
      </c>
      <c r="U172" s="38" t="str">
        <f t="shared" si="3"/>
        <v/>
      </c>
      <c r="V172" s="32" t="str">
        <f t="shared" si="4"/>
        <v/>
      </c>
      <c r="W172" s="39" t="str">
        <f>IFERROR(__xludf.DUMMYFUNCTION(" IF(Account!$F172&lt;&gt;"""", SPLIT(Account!$F172, "" ""), """")"),"")</f>
        <v/>
      </c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</row>
    <row r="173">
      <c r="A173" s="12"/>
      <c r="B173" s="12"/>
      <c r="C173" s="12"/>
      <c r="D173" s="12"/>
      <c r="E173" s="12"/>
      <c r="F173" s="13"/>
      <c r="G173" s="12"/>
      <c r="H173" s="12"/>
      <c r="I173" s="12"/>
      <c r="J173" s="12"/>
      <c r="K173" s="12"/>
      <c r="L173" s="13"/>
      <c r="M173" s="30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2" t="str">
        <f>IFERROR(__xludf.DUMMYFUNCTION("IF(Account!$F173&lt;&gt;"""", VALUE(REGEXREPLACE($I173, ""\,"", ""."")), """")"),"")</f>
        <v/>
      </c>
      <c r="O173" s="33" t="str">
        <f>IF(Account!$F173&lt;&gt;"", DATEVALUE(MID($A173,4,3) &amp; LEFT($A173,3) &amp; RIGHT($A173,4)) + TIMEVALUE($B173), "")</f>
        <v/>
      </c>
      <c r="P173" s="34" t="str">
        <f>IF(Account!$F173&lt;&gt;"", DATEVALUE(MID($C173,4,3) &amp; LEFT($C173,3) &amp; RIGHT($C173,4)), "")</f>
        <v/>
      </c>
      <c r="Q173" s="35" t="str">
        <f t="array" ref="Q173">IF($R173&lt;&gt;"",IFERROR(INDEX(ISIN!$B:$B,MATCH($R173,ISIN!$C:$C,0))),)</f>
        <v/>
      </c>
      <c r="R173" s="36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5" t="str">
        <f t="shared" si="1"/>
        <v/>
      </c>
      <c r="T173" s="37" t="str">
        <f t="shared" si="2"/>
        <v/>
      </c>
      <c r="U173" s="38" t="str">
        <f t="shared" si="3"/>
        <v/>
      </c>
      <c r="V173" s="32" t="str">
        <f t="shared" si="4"/>
        <v/>
      </c>
      <c r="W173" s="39" t="str">
        <f>IFERROR(__xludf.DUMMYFUNCTION(" IF(Account!$F173&lt;&gt;"""", SPLIT(Account!$F173, "" ""), """")"),"")</f>
        <v/>
      </c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</row>
    <row r="174">
      <c r="A174" s="12"/>
      <c r="B174" s="12"/>
      <c r="C174" s="12"/>
      <c r="D174" s="12"/>
      <c r="E174" s="12"/>
      <c r="F174" s="13"/>
      <c r="G174" s="12"/>
      <c r="H174" s="12"/>
      <c r="I174" s="12"/>
      <c r="J174" s="12"/>
      <c r="K174" s="12"/>
      <c r="L174" s="13"/>
      <c r="M174" s="30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2" t="str">
        <f>IFERROR(__xludf.DUMMYFUNCTION("IF(Account!$F174&lt;&gt;"""", VALUE(REGEXREPLACE($I174, ""\,"", ""."")), """")"),"")</f>
        <v/>
      </c>
      <c r="O174" s="33" t="str">
        <f>IF(Account!$F174&lt;&gt;"", DATEVALUE(MID($A174,4,3) &amp; LEFT($A174,3) &amp; RIGHT($A174,4)) + TIMEVALUE($B174), "")</f>
        <v/>
      </c>
      <c r="P174" s="34" t="str">
        <f>IF(Account!$F174&lt;&gt;"", DATEVALUE(MID($C174,4,3) &amp; LEFT($C174,3) &amp; RIGHT($C174,4)), "")</f>
        <v/>
      </c>
      <c r="Q174" s="35" t="str">
        <f t="array" ref="Q174">IF($R174&lt;&gt;"",IFERROR(INDEX(ISIN!$B:$B,MATCH($R174,ISIN!$C:$C,0))),)</f>
        <v/>
      </c>
      <c r="R174" s="36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5" t="str">
        <f t="shared" si="1"/>
        <v/>
      </c>
      <c r="T174" s="37" t="str">
        <f t="shared" si="2"/>
        <v/>
      </c>
      <c r="U174" s="38" t="str">
        <f t="shared" si="3"/>
        <v/>
      </c>
      <c r="V174" s="32" t="str">
        <f t="shared" si="4"/>
        <v/>
      </c>
      <c r="W174" s="39" t="str">
        <f>IFERROR(__xludf.DUMMYFUNCTION(" IF(Account!$F174&lt;&gt;"""", SPLIT(Account!$F174, "" ""), """")"),"")</f>
        <v/>
      </c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</row>
    <row r="175">
      <c r="A175" s="12"/>
      <c r="B175" s="12"/>
      <c r="C175" s="12"/>
      <c r="D175" s="12"/>
      <c r="E175" s="12"/>
      <c r="F175" s="13"/>
      <c r="G175" s="12"/>
      <c r="H175" s="12"/>
      <c r="I175" s="12"/>
      <c r="J175" s="12"/>
      <c r="K175" s="12"/>
      <c r="L175" s="13"/>
      <c r="M175" s="30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2" t="str">
        <f>IFERROR(__xludf.DUMMYFUNCTION("IF(Account!$F175&lt;&gt;"""", VALUE(REGEXREPLACE($I175, ""\,"", ""."")), """")"),"")</f>
        <v/>
      </c>
      <c r="O175" s="33" t="str">
        <f>IF(Account!$F175&lt;&gt;"", DATEVALUE(MID($A175,4,3) &amp; LEFT($A175,3) &amp; RIGHT($A175,4)) + TIMEVALUE($B175), "")</f>
        <v/>
      </c>
      <c r="P175" s="34" t="str">
        <f>IF(Account!$F175&lt;&gt;"", DATEVALUE(MID($C175,4,3) &amp; LEFT($C175,3) &amp; RIGHT($C175,4)), "")</f>
        <v/>
      </c>
      <c r="Q175" s="35" t="str">
        <f t="array" ref="Q175">IF($R175&lt;&gt;"",IFERROR(INDEX(ISIN!$B:$B,MATCH($R175,ISIN!$C:$C,0))),)</f>
        <v/>
      </c>
      <c r="R175" s="36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5" t="str">
        <f t="shared" si="1"/>
        <v/>
      </c>
      <c r="T175" s="37" t="str">
        <f t="shared" si="2"/>
        <v/>
      </c>
      <c r="U175" s="38" t="str">
        <f t="shared" si="3"/>
        <v/>
      </c>
      <c r="V175" s="32" t="str">
        <f t="shared" si="4"/>
        <v/>
      </c>
      <c r="W175" s="39" t="str">
        <f>IFERROR(__xludf.DUMMYFUNCTION(" IF(Account!$F175&lt;&gt;"""", SPLIT(Account!$F175, "" ""), """")"),"")</f>
        <v/>
      </c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</row>
    <row r="176">
      <c r="A176" s="12"/>
      <c r="B176" s="12"/>
      <c r="C176" s="12"/>
      <c r="D176" s="12"/>
      <c r="E176" s="12"/>
      <c r="F176" s="13"/>
      <c r="G176" s="12"/>
      <c r="H176" s="12"/>
      <c r="I176" s="12"/>
      <c r="J176" s="12"/>
      <c r="K176" s="12"/>
      <c r="L176" s="13"/>
      <c r="M176" s="30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2" t="str">
        <f>IFERROR(__xludf.DUMMYFUNCTION("IF(Account!$F176&lt;&gt;"""", VALUE(REGEXREPLACE($I176, ""\,"", ""."")), """")"),"")</f>
        <v/>
      </c>
      <c r="O176" s="33" t="str">
        <f>IF(Account!$F176&lt;&gt;"", DATEVALUE(MID($A176,4,3) &amp; LEFT($A176,3) &amp; RIGHT($A176,4)) + TIMEVALUE($B176), "")</f>
        <v/>
      </c>
      <c r="P176" s="34" t="str">
        <f>IF(Account!$F176&lt;&gt;"", DATEVALUE(MID($C176,4,3) &amp; LEFT($C176,3) &amp; RIGHT($C176,4)), "")</f>
        <v/>
      </c>
      <c r="Q176" s="35" t="str">
        <f t="array" ref="Q176">IF($R176&lt;&gt;"",IFERROR(INDEX(ISIN!$B:$B,MATCH($R176,ISIN!$C:$C,0))),)</f>
        <v/>
      </c>
      <c r="R176" s="36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5" t="str">
        <f t="shared" si="1"/>
        <v/>
      </c>
      <c r="T176" s="37" t="str">
        <f t="shared" si="2"/>
        <v/>
      </c>
      <c r="U176" s="38" t="str">
        <f t="shared" si="3"/>
        <v/>
      </c>
      <c r="V176" s="32" t="str">
        <f t="shared" si="4"/>
        <v/>
      </c>
      <c r="W176" s="39" t="str">
        <f>IFERROR(__xludf.DUMMYFUNCTION(" IF(Account!$F176&lt;&gt;"""", SPLIT(Account!$F176, "" ""), """")"),"")</f>
        <v/>
      </c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</row>
    <row r="177">
      <c r="A177" s="12"/>
      <c r="B177" s="12"/>
      <c r="C177" s="12"/>
      <c r="D177" s="12"/>
      <c r="E177" s="12"/>
      <c r="F177" s="13"/>
      <c r="G177" s="291"/>
      <c r="H177" s="12"/>
      <c r="I177" s="12"/>
      <c r="J177" s="12"/>
      <c r="K177" s="12"/>
      <c r="L177" s="13"/>
      <c r="M177" s="30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2" t="str">
        <f>IFERROR(__xludf.DUMMYFUNCTION("IF(Account!$F177&lt;&gt;"""", VALUE(REGEXREPLACE($I177, ""\,"", ""."")), """")"),"")</f>
        <v/>
      </c>
      <c r="O177" s="33" t="str">
        <f>IF(Account!$F177&lt;&gt;"", DATEVALUE(MID($A177,4,3) &amp; LEFT($A177,3) &amp; RIGHT($A177,4)) + TIMEVALUE($B177), "")</f>
        <v/>
      </c>
      <c r="P177" s="34" t="str">
        <f>IF(Account!$F177&lt;&gt;"", DATEVALUE(MID($C177,4,3) &amp; LEFT($C177,3) &amp; RIGHT($C177,4)), "")</f>
        <v/>
      </c>
      <c r="Q177" s="35" t="str">
        <f t="array" ref="Q177">IF($R177&lt;&gt;"",IFERROR(INDEX(ISIN!$B:$B,MATCH($R177,ISIN!$C:$C,0))),)</f>
        <v/>
      </c>
      <c r="R177" s="36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5" t="str">
        <f t="shared" si="1"/>
        <v/>
      </c>
      <c r="T177" s="37" t="str">
        <f t="shared" si="2"/>
        <v/>
      </c>
      <c r="U177" s="38" t="str">
        <f t="shared" si="3"/>
        <v/>
      </c>
      <c r="V177" s="32" t="str">
        <f t="shared" si="4"/>
        <v/>
      </c>
      <c r="W177" s="39" t="str">
        <f>IFERROR(__xludf.DUMMYFUNCTION(" IF(Account!$F177&lt;&gt;"""", SPLIT(Account!$F177, "" ""), """")"),"")</f>
        <v/>
      </c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</row>
    <row r="178">
      <c r="A178" s="12"/>
      <c r="B178" s="12"/>
      <c r="C178" s="12"/>
      <c r="D178" s="12"/>
      <c r="E178" s="12"/>
      <c r="F178" s="13"/>
      <c r="G178" s="12"/>
      <c r="H178" s="12"/>
      <c r="I178" s="12"/>
      <c r="J178" s="12"/>
      <c r="K178" s="12"/>
      <c r="L178" s="13"/>
      <c r="M178" s="30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2" t="str">
        <f>IFERROR(__xludf.DUMMYFUNCTION("IF(Account!$F178&lt;&gt;"""", VALUE(REGEXREPLACE($I178, ""\,"", ""."")), """")"),"")</f>
        <v/>
      </c>
      <c r="O178" s="33" t="str">
        <f>IF(Account!$F178&lt;&gt;"", DATEVALUE(MID($A178,4,3) &amp; LEFT($A178,3) &amp; RIGHT($A178,4)) + TIMEVALUE($B178), "")</f>
        <v/>
      </c>
      <c r="P178" s="34" t="str">
        <f>IF(Account!$F178&lt;&gt;"", DATEVALUE(MID($C178,4,3) &amp; LEFT($C178,3) &amp; RIGHT($C178,4)), "")</f>
        <v/>
      </c>
      <c r="Q178" s="35" t="str">
        <f t="array" ref="Q178">IF($R178&lt;&gt;"",IFERROR(INDEX(ISIN!$B:$B,MATCH($R178,ISIN!$C:$C,0))),)</f>
        <v/>
      </c>
      <c r="R178" s="36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5" t="str">
        <f t="shared" si="1"/>
        <v/>
      </c>
      <c r="T178" s="37" t="str">
        <f t="shared" si="2"/>
        <v/>
      </c>
      <c r="U178" s="38" t="str">
        <f t="shared" si="3"/>
        <v/>
      </c>
      <c r="V178" s="32" t="str">
        <f t="shared" si="4"/>
        <v/>
      </c>
      <c r="W178" s="39" t="str">
        <f>IFERROR(__xludf.DUMMYFUNCTION(" IF(Account!$F178&lt;&gt;"""", SPLIT(Account!$F178, "" ""), """")"),"")</f>
        <v/>
      </c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</row>
    <row r="179">
      <c r="A179" s="12"/>
      <c r="B179" s="12"/>
      <c r="C179" s="12"/>
      <c r="D179" s="12"/>
      <c r="E179" s="12"/>
      <c r="F179" s="13"/>
      <c r="G179" s="12"/>
      <c r="H179" s="12"/>
      <c r="I179" s="12"/>
      <c r="J179" s="12"/>
      <c r="K179" s="12"/>
      <c r="L179" s="13"/>
      <c r="M179" s="30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2" t="str">
        <f>IFERROR(__xludf.DUMMYFUNCTION("IF(Account!$F179&lt;&gt;"""", VALUE(REGEXREPLACE($I179, ""\,"", ""."")), """")"),"")</f>
        <v/>
      </c>
      <c r="O179" s="33" t="str">
        <f>IF(Account!$F179&lt;&gt;"", DATEVALUE(MID($A179,4,3) &amp; LEFT($A179,3) &amp; RIGHT($A179,4)) + TIMEVALUE($B179), "")</f>
        <v/>
      </c>
      <c r="P179" s="34" t="str">
        <f>IF(Account!$F179&lt;&gt;"", DATEVALUE(MID($C179,4,3) &amp; LEFT($C179,3) &amp; RIGHT($C179,4)), "")</f>
        <v/>
      </c>
      <c r="Q179" s="35" t="str">
        <f t="array" ref="Q179">IF($R179&lt;&gt;"",IFERROR(INDEX(ISIN!$B:$B,MATCH($R179,ISIN!$C:$C,0))),)</f>
        <v/>
      </c>
      <c r="R179" s="36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5" t="str">
        <f t="shared" si="1"/>
        <v/>
      </c>
      <c r="T179" s="37" t="str">
        <f t="shared" si="2"/>
        <v/>
      </c>
      <c r="U179" s="38" t="str">
        <f t="shared" si="3"/>
        <v/>
      </c>
      <c r="V179" s="32" t="str">
        <f t="shared" si="4"/>
        <v/>
      </c>
      <c r="W179" s="39" t="str">
        <f>IFERROR(__xludf.DUMMYFUNCTION(" IF(Account!$F179&lt;&gt;"""", SPLIT(Account!$F179, "" ""), """")"),"")</f>
        <v/>
      </c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</row>
    <row r="180">
      <c r="A180" s="12"/>
      <c r="B180" s="12"/>
      <c r="C180" s="12"/>
      <c r="D180" s="12"/>
      <c r="E180" s="12"/>
      <c r="F180" s="13"/>
      <c r="G180" s="12"/>
      <c r="H180" s="12"/>
      <c r="I180" s="12"/>
      <c r="J180" s="12"/>
      <c r="K180" s="12"/>
      <c r="L180" s="13"/>
      <c r="M180" s="30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2" t="str">
        <f>IFERROR(__xludf.DUMMYFUNCTION("IF(Account!$F180&lt;&gt;"""", VALUE(REGEXREPLACE($I180, ""\,"", ""."")), """")"),"")</f>
        <v/>
      </c>
      <c r="O180" s="33" t="str">
        <f>IF(Account!$F180&lt;&gt;"", DATEVALUE(MID($A180,4,3) &amp; LEFT($A180,3) &amp; RIGHT($A180,4)) + TIMEVALUE($B180), "")</f>
        <v/>
      </c>
      <c r="P180" s="34" t="str">
        <f>IF(Account!$F180&lt;&gt;"", DATEVALUE(MID($C180,4,3) &amp; LEFT($C180,3) &amp; RIGHT($C180,4)), "")</f>
        <v/>
      </c>
      <c r="Q180" s="35" t="str">
        <f t="array" ref="Q180">IF($R180&lt;&gt;"",IFERROR(INDEX(ISIN!$B:$B,MATCH($R180,ISIN!$C:$C,0))),)</f>
        <v/>
      </c>
      <c r="R180" s="36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5" t="str">
        <f t="shared" si="1"/>
        <v/>
      </c>
      <c r="T180" s="37" t="str">
        <f t="shared" si="2"/>
        <v/>
      </c>
      <c r="U180" s="38" t="str">
        <f t="shared" si="3"/>
        <v/>
      </c>
      <c r="V180" s="32" t="str">
        <f t="shared" si="4"/>
        <v/>
      </c>
      <c r="W180" s="39" t="str">
        <f>IFERROR(__xludf.DUMMYFUNCTION(" IF(Account!$F180&lt;&gt;"""", SPLIT(Account!$F180, "" ""), """")"),"")</f>
        <v/>
      </c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</row>
    <row r="181">
      <c r="A181" s="12"/>
      <c r="B181" s="12"/>
      <c r="C181" s="12"/>
      <c r="D181" s="12"/>
      <c r="E181" s="12"/>
      <c r="F181" s="13"/>
      <c r="G181" s="12"/>
      <c r="H181" s="12"/>
      <c r="I181" s="12"/>
      <c r="J181" s="12"/>
      <c r="K181" s="12"/>
      <c r="L181" s="13"/>
      <c r="M181" s="30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2" t="str">
        <f>IFERROR(__xludf.DUMMYFUNCTION("IF(Account!$F181&lt;&gt;"""", VALUE(REGEXREPLACE($I181, ""\,"", ""."")), """")"),"")</f>
        <v/>
      </c>
      <c r="O181" s="33" t="str">
        <f>IF(Account!$F181&lt;&gt;"", DATEVALUE(MID($A181,4,3) &amp; LEFT($A181,3) &amp; RIGHT($A181,4)) + TIMEVALUE($B181), "")</f>
        <v/>
      </c>
      <c r="P181" s="34" t="str">
        <f>IF(Account!$F181&lt;&gt;"", DATEVALUE(MID($C181,4,3) &amp; LEFT($C181,3) &amp; RIGHT($C181,4)), "")</f>
        <v/>
      </c>
      <c r="Q181" s="35" t="str">
        <f t="array" ref="Q181">IF($R181&lt;&gt;"",IFERROR(INDEX(ISIN!$B:$B,MATCH($R181,ISIN!$C:$C,0))),)</f>
        <v/>
      </c>
      <c r="R181" s="36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5" t="str">
        <f t="shared" si="1"/>
        <v/>
      </c>
      <c r="T181" s="37" t="str">
        <f t="shared" si="2"/>
        <v/>
      </c>
      <c r="U181" s="38" t="str">
        <f t="shared" si="3"/>
        <v/>
      </c>
      <c r="V181" s="32" t="str">
        <f t="shared" si="4"/>
        <v/>
      </c>
      <c r="W181" s="39" t="str">
        <f>IFERROR(__xludf.DUMMYFUNCTION(" IF(Account!$F181&lt;&gt;"""", SPLIT(Account!$F181, "" ""), """")"),"")</f>
        <v/>
      </c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</row>
    <row r="182">
      <c r="A182" s="12"/>
      <c r="B182" s="12"/>
      <c r="C182" s="12"/>
      <c r="D182" s="12"/>
      <c r="E182" s="12"/>
      <c r="F182" s="13"/>
      <c r="G182" s="12"/>
      <c r="H182" s="12"/>
      <c r="I182" s="12"/>
      <c r="J182" s="12"/>
      <c r="K182" s="12"/>
      <c r="L182" s="13"/>
      <c r="M182" s="30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2" t="str">
        <f>IFERROR(__xludf.DUMMYFUNCTION("IF(Account!$F182&lt;&gt;"""", VALUE(REGEXREPLACE($I182, ""\,"", ""."")), """")"),"")</f>
        <v/>
      </c>
      <c r="O182" s="33" t="str">
        <f>IF(Account!$F182&lt;&gt;"", DATEVALUE(MID($A182,4,3) &amp; LEFT($A182,3) &amp; RIGHT($A182,4)) + TIMEVALUE($B182), "")</f>
        <v/>
      </c>
      <c r="P182" s="34" t="str">
        <f>IF(Account!$F182&lt;&gt;"", DATEVALUE(MID($C182,4,3) &amp; LEFT($C182,3) &amp; RIGHT($C182,4)), "")</f>
        <v/>
      </c>
      <c r="Q182" s="35" t="str">
        <f t="array" ref="Q182">IF($R182&lt;&gt;"",IFERROR(INDEX(ISIN!$B:$B,MATCH($R182,ISIN!$C:$C,0))),)</f>
        <v/>
      </c>
      <c r="R182" s="36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5" t="str">
        <f t="shared" si="1"/>
        <v/>
      </c>
      <c r="T182" s="37" t="str">
        <f t="shared" si="2"/>
        <v/>
      </c>
      <c r="U182" s="38" t="str">
        <f t="shared" si="3"/>
        <v/>
      </c>
      <c r="V182" s="32" t="str">
        <f t="shared" si="4"/>
        <v/>
      </c>
      <c r="W182" s="39" t="str">
        <f>IFERROR(__xludf.DUMMYFUNCTION(" IF(Account!$F182&lt;&gt;"""", SPLIT(Account!$F182, "" ""), """")"),"")</f>
        <v/>
      </c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</row>
    <row r="183">
      <c r="A183" s="12"/>
      <c r="B183" s="12"/>
      <c r="C183" s="12"/>
      <c r="D183" s="12"/>
      <c r="E183" s="12"/>
      <c r="F183" s="13"/>
      <c r="G183" s="12"/>
      <c r="H183" s="12"/>
      <c r="I183" s="12"/>
      <c r="J183" s="12"/>
      <c r="K183" s="12"/>
      <c r="L183" s="13"/>
      <c r="M183" s="30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2" t="str">
        <f>IFERROR(__xludf.DUMMYFUNCTION("IF(Account!$F183&lt;&gt;"""", VALUE(REGEXREPLACE($I183, ""\,"", ""."")), """")"),"")</f>
        <v/>
      </c>
      <c r="O183" s="33" t="str">
        <f>IF(Account!$F183&lt;&gt;"", DATEVALUE(MID($A183,4,3) &amp; LEFT($A183,3) &amp; RIGHT($A183,4)) + TIMEVALUE($B183), "")</f>
        <v/>
      </c>
      <c r="P183" s="34" t="str">
        <f>IF(Account!$F183&lt;&gt;"", DATEVALUE(MID($C183,4,3) &amp; LEFT($C183,3) &amp; RIGHT($C183,4)), "")</f>
        <v/>
      </c>
      <c r="Q183" s="35" t="str">
        <f t="array" ref="Q183">IF($R183&lt;&gt;"",IFERROR(INDEX(ISIN!$B:$B,MATCH($R183,ISIN!$C:$C,0))),)</f>
        <v/>
      </c>
      <c r="R183" s="36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5" t="str">
        <f t="shared" si="1"/>
        <v/>
      </c>
      <c r="T183" s="37" t="str">
        <f t="shared" si="2"/>
        <v/>
      </c>
      <c r="U183" s="38" t="str">
        <f t="shared" si="3"/>
        <v/>
      </c>
      <c r="V183" s="32" t="str">
        <f t="shared" si="4"/>
        <v/>
      </c>
      <c r="W183" s="39" t="str">
        <f>IFERROR(__xludf.DUMMYFUNCTION(" IF(Account!$F183&lt;&gt;"""", SPLIT(Account!$F183, "" ""), """")"),"")</f>
        <v/>
      </c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</row>
    <row r="184">
      <c r="A184" s="12"/>
      <c r="B184" s="12"/>
      <c r="C184" s="12"/>
      <c r="D184" s="12"/>
      <c r="E184" s="12"/>
      <c r="F184" s="13"/>
      <c r="G184" s="12"/>
      <c r="H184" s="12"/>
      <c r="I184" s="12"/>
      <c r="J184" s="12"/>
      <c r="K184" s="12"/>
      <c r="L184" s="13"/>
      <c r="M184" s="30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2" t="str">
        <f>IFERROR(__xludf.DUMMYFUNCTION("IF(Account!$F184&lt;&gt;"""", VALUE(REGEXREPLACE($I184, ""\,"", ""."")), """")"),"")</f>
        <v/>
      </c>
      <c r="O184" s="33" t="str">
        <f>IF(Account!$F184&lt;&gt;"", DATEVALUE(MID($A184,4,3) &amp; LEFT($A184,3) &amp; RIGHT($A184,4)) + TIMEVALUE($B184), "")</f>
        <v/>
      </c>
      <c r="P184" s="34" t="str">
        <f>IF(Account!$F184&lt;&gt;"", DATEVALUE(MID($C184,4,3) &amp; LEFT($C184,3) &amp; RIGHT($C184,4)), "")</f>
        <v/>
      </c>
      <c r="Q184" s="35" t="str">
        <f t="array" ref="Q184">IF($R184&lt;&gt;"",IFERROR(INDEX(ISIN!$B:$B,MATCH($R184,ISIN!$C:$C,0))),)</f>
        <v/>
      </c>
      <c r="R184" s="36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5" t="str">
        <f t="shared" si="1"/>
        <v/>
      </c>
      <c r="T184" s="37" t="str">
        <f t="shared" si="2"/>
        <v/>
      </c>
      <c r="U184" s="38" t="str">
        <f t="shared" si="3"/>
        <v/>
      </c>
      <c r="V184" s="32" t="str">
        <f t="shared" si="4"/>
        <v/>
      </c>
      <c r="W184" s="39" t="str">
        <f>IFERROR(__xludf.DUMMYFUNCTION(" IF(Account!$F184&lt;&gt;"""", SPLIT(Account!$F184, "" ""), """")"),"")</f>
        <v/>
      </c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</row>
    <row r="185">
      <c r="A185" s="12"/>
      <c r="B185" s="12"/>
      <c r="C185" s="12"/>
      <c r="D185" s="12"/>
      <c r="E185" s="12"/>
      <c r="F185" s="13"/>
      <c r="G185" s="12"/>
      <c r="H185" s="12"/>
      <c r="I185" s="12"/>
      <c r="J185" s="12"/>
      <c r="K185" s="12"/>
      <c r="L185" s="13"/>
      <c r="M185" s="30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2" t="str">
        <f>IFERROR(__xludf.DUMMYFUNCTION("IF(Account!$F185&lt;&gt;"""", VALUE(REGEXREPLACE($I185, ""\,"", ""."")), """")"),"")</f>
        <v/>
      </c>
      <c r="O185" s="33" t="str">
        <f>IF(Account!$F185&lt;&gt;"", DATEVALUE(MID($A185,4,3) &amp; LEFT($A185,3) &amp; RIGHT($A185,4)) + TIMEVALUE($B185), "")</f>
        <v/>
      </c>
      <c r="P185" s="34" t="str">
        <f>IF(Account!$F185&lt;&gt;"", DATEVALUE(MID($C185,4,3) &amp; LEFT($C185,3) &amp; RIGHT($C185,4)), "")</f>
        <v/>
      </c>
      <c r="Q185" s="35" t="str">
        <f t="array" ref="Q185">IF($R185&lt;&gt;"",IFERROR(INDEX(ISIN!$B:$B,MATCH($R185,ISIN!$C:$C,0))),)</f>
        <v/>
      </c>
      <c r="R185" s="36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5" t="str">
        <f t="shared" si="1"/>
        <v/>
      </c>
      <c r="T185" s="37" t="str">
        <f t="shared" si="2"/>
        <v/>
      </c>
      <c r="U185" s="38" t="str">
        <f t="shared" si="3"/>
        <v/>
      </c>
      <c r="V185" s="32" t="str">
        <f t="shared" si="4"/>
        <v/>
      </c>
      <c r="W185" s="39" t="str">
        <f>IFERROR(__xludf.DUMMYFUNCTION(" IF(Account!$F185&lt;&gt;"""", SPLIT(Account!$F185, "" ""), """")"),"")</f>
        <v/>
      </c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</row>
    <row r="186">
      <c r="A186" s="12"/>
      <c r="B186" s="12"/>
      <c r="C186" s="12"/>
      <c r="D186" s="12"/>
      <c r="E186" s="12"/>
      <c r="F186" s="13"/>
      <c r="G186" s="12"/>
      <c r="H186" s="12"/>
      <c r="I186" s="12"/>
      <c r="J186" s="12"/>
      <c r="K186" s="12"/>
      <c r="L186" s="13"/>
      <c r="M186" s="30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2" t="str">
        <f>IFERROR(__xludf.DUMMYFUNCTION("IF(Account!$F186&lt;&gt;"""", VALUE(REGEXREPLACE($I186, ""\,"", ""."")), """")"),"")</f>
        <v/>
      </c>
      <c r="O186" s="33" t="str">
        <f>IF(Account!$F186&lt;&gt;"", DATEVALUE(MID($A186,4,3) &amp; LEFT($A186,3) &amp; RIGHT($A186,4)) + TIMEVALUE($B186), "")</f>
        <v/>
      </c>
      <c r="P186" s="34" t="str">
        <f>IF(Account!$F186&lt;&gt;"", DATEVALUE(MID($C186,4,3) &amp; LEFT($C186,3) &amp; RIGHT($C186,4)), "")</f>
        <v/>
      </c>
      <c r="Q186" s="35" t="str">
        <f t="array" ref="Q186">IF($R186&lt;&gt;"",IFERROR(INDEX(ISIN!$B:$B,MATCH($R186,ISIN!$C:$C,0))),)</f>
        <v/>
      </c>
      <c r="R186" s="36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5" t="str">
        <f t="shared" si="1"/>
        <v/>
      </c>
      <c r="T186" s="37" t="str">
        <f t="shared" si="2"/>
        <v/>
      </c>
      <c r="U186" s="38" t="str">
        <f t="shared" si="3"/>
        <v/>
      </c>
      <c r="V186" s="32" t="str">
        <f t="shared" si="4"/>
        <v/>
      </c>
      <c r="W186" s="39" t="str">
        <f>IFERROR(__xludf.DUMMYFUNCTION(" IF(Account!$F186&lt;&gt;"""", SPLIT(Account!$F186, "" ""), """")"),"")</f>
        <v/>
      </c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</row>
    <row r="187">
      <c r="A187" s="12"/>
      <c r="B187" s="12"/>
      <c r="C187" s="12"/>
      <c r="D187" s="12"/>
      <c r="E187" s="12"/>
      <c r="F187" s="13"/>
      <c r="G187" s="12"/>
      <c r="H187" s="12"/>
      <c r="I187" s="12"/>
      <c r="J187" s="12"/>
      <c r="K187" s="12"/>
      <c r="L187" s="13"/>
      <c r="M187" s="30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2" t="str">
        <f>IFERROR(__xludf.DUMMYFUNCTION("IF(Account!$F187&lt;&gt;"""", VALUE(REGEXREPLACE($I187, ""\,"", ""."")), """")"),"")</f>
        <v/>
      </c>
      <c r="O187" s="33" t="str">
        <f>IF(Account!$F187&lt;&gt;"", DATEVALUE(MID($A187,4,3) &amp; LEFT($A187,3) &amp; RIGHT($A187,4)) + TIMEVALUE($B187), "")</f>
        <v/>
      </c>
      <c r="P187" s="34" t="str">
        <f>IF(Account!$F187&lt;&gt;"", DATEVALUE(MID($C187,4,3) &amp; LEFT($C187,3) &amp; RIGHT($C187,4)), "")</f>
        <v/>
      </c>
      <c r="Q187" s="35" t="str">
        <f t="array" ref="Q187">IF($R187&lt;&gt;"",IFERROR(INDEX(ISIN!$B:$B,MATCH($R187,ISIN!$C:$C,0))),)</f>
        <v/>
      </c>
      <c r="R187" s="36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5" t="str">
        <f t="shared" si="1"/>
        <v/>
      </c>
      <c r="T187" s="37" t="str">
        <f t="shared" si="2"/>
        <v/>
      </c>
      <c r="U187" s="38" t="str">
        <f t="shared" si="3"/>
        <v/>
      </c>
      <c r="V187" s="32" t="str">
        <f t="shared" si="4"/>
        <v/>
      </c>
      <c r="W187" s="39" t="str">
        <f>IFERROR(__xludf.DUMMYFUNCTION(" IF(Account!$F187&lt;&gt;"""", SPLIT(Account!$F187, "" ""), """")"),"")</f>
        <v/>
      </c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</row>
    <row r="188">
      <c r="A188" s="12"/>
      <c r="B188" s="12"/>
      <c r="C188" s="12"/>
      <c r="D188" s="12"/>
      <c r="E188" s="12"/>
      <c r="F188" s="13"/>
      <c r="G188" s="12"/>
      <c r="H188" s="12"/>
      <c r="I188" s="12"/>
      <c r="J188" s="12"/>
      <c r="K188" s="12"/>
      <c r="L188" s="13"/>
      <c r="M188" s="30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2" t="str">
        <f>IFERROR(__xludf.DUMMYFUNCTION("IF(Account!$F188&lt;&gt;"""", VALUE(REGEXREPLACE($I188, ""\,"", ""."")), """")"),"")</f>
        <v/>
      </c>
      <c r="O188" s="33" t="str">
        <f>IF(Account!$F188&lt;&gt;"", DATEVALUE(MID($A188,4,3) &amp; LEFT($A188,3) &amp; RIGHT($A188,4)) + TIMEVALUE($B188), "")</f>
        <v/>
      </c>
      <c r="P188" s="34" t="str">
        <f>IF(Account!$F188&lt;&gt;"", DATEVALUE(MID($C188,4,3) &amp; LEFT($C188,3) &amp; RIGHT($C188,4)), "")</f>
        <v/>
      </c>
      <c r="Q188" s="35" t="str">
        <f t="array" ref="Q188">IF($R188&lt;&gt;"",IFERROR(INDEX(ISIN!$B:$B,MATCH($R188,ISIN!$C:$C,0))),)</f>
        <v/>
      </c>
      <c r="R188" s="36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5" t="str">
        <f t="shared" si="1"/>
        <v/>
      </c>
      <c r="T188" s="37" t="str">
        <f t="shared" si="2"/>
        <v/>
      </c>
      <c r="U188" s="38" t="str">
        <f t="shared" si="3"/>
        <v/>
      </c>
      <c r="V188" s="32" t="str">
        <f t="shared" si="4"/>
        <v/>
      </c>
      <c r="W188" s="39" t="str">
        <f>IFERROR(__xludf.DUMMYFUNCTION(" IF(Account!$F188&lt;&gt;"""", SPLIT(Account!$F188, "" ""), """")"),"")</f>
        <v/>
      </c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</row>
    <row r="189">
      <c r="A189" s="12"/>
      <c r="B189" s="12"/>
      <c r="C189" s="12"/>
      <c r="D189" s="12"/>
      <c r="E189" s="12"/>
      <c r="F189" s="13"/>
      <c r="G189" s="12"/>
      <c r="H189" s="12"/>
      <c r="I189" s="12"/>
      <c r="J189" s="12"/>
      <c r="K189" s="12"/>
      <c r="L189" s="13"/>
      <c r="M189" s="30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2" t="str">
        <f>IFERROR(__xludf.DUMMYFUNCTION("IF(Account!$F189&lt;&gt;"""", VALUE(REGEXREPLACE($I189, ""\,"", ""."")), """")"),"")</f>
        <v/>
      </c>
      <c r="O189" s="33" t="str">
        <f>IF(Account!$F189&lt;&gt;"", DATEVALUE(MID($A189,4,3) &amp; LEFT($A189,3) &amp; RIGHT($A189,4)) + TIMEVALUE($B189), "")</f>
        <v/>
      </c>
      <c r="P189" s="34" t="str">
        <f>IF(Account!$F189&lt;&gt;"", DATEVALUE(MID($C189,4,3) &amp; LEFT($C189,3) &amp; RIGHT($C189,4)), "")</f>
        <v/>
      </c>
      <c r="Q189" s="35" t="str">
        <f t="array" ref="Q189">IF($R189&lt;&gt;"",IFERROR(INDEX(ISIN!$B:$B,MATCH($R189,ISIN!$C:$C,0))),)</f>
        <v/>
      </c>
      <c r="R189" s="36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5" t="str">
        <f t="shared" si="1"/>
        <v/>
      </c>
      <c r="T189" s="37" t="str">
        <f t="shared" si="2"/>
        <v/>
      </c>
      <c r="U189" s="38" t="str">
        <f t="shared" si="3"/>
        <v/>
      </c>
      <c r="V189" s="32" t="str">
        <f t="shared" si="4"/>
        <v/>
      </c>
      <c r="W189" s="39" t="str">
        <f>IFERROR(__xludf.DUMMYFUNCTION(" IF(Account!$F189&lt;&gt;"""", SPLIT(Account!$F189, "" ""), """")"),"")</f>
        <v/>
      </c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</row>
    <row r="190">
      <c r="A190" s="12"/>
      <c r="B190" s="12"/>
      <c r="C190" s="12"/>
      <c r="D190" s="12"/>
      <c r="E190" s="12"/>
      <c r="F190" s="13"/>
      <c r="G190" s="12"/>
      <c r="H190" s="12"/>
      <c r="I190" s="12"/>
      <c r="J190" s="12"/>
      <c r="K190" s="12"/>
      <c r="L190" s="13"/>
      <c r="M190" s="30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2" t="str">
        <f>IFERROR(__xludf.DUMMYFUNCTION("IF(Account!$F190&lt;&gt;"""", VALUE(REGEXREPLACE($I190, ""\,"", ""."")), """")"),"")</f>
        <v/>
      </c>
      <c r="O190" s="33" t="str">
        <f>IF(Account!$F190&lt;&gt;"", DATEVALUE(MID($A190,4,3) &amp; LEFT($A190,3) &amp; RIGHT($A190,4)) + TIMEVALUE($B190), "")</f>
        <v/>
      </c>
      <c r="P190" s="34" t="str">
        <f>IF(Account!$F190&lt;&gt;"", DATEVALUE(MID($C190,4,3) &amp; LEFT($C190,3) &amp; RIGHT($C190,4)), "")</f>
        <v/>
      </c>
      <c r="Q190" s="35" t="str">
        <f t="array" ref="Q190">IF($R190&lt;&gt;"",IFERROR(INDEX(ISIN!$B:$B,MATCH($R190,ISIN!$C:$C,0))),)</f>
        <v/>
      </c>
      <c r="R190" s="36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5" t="str">
        <f t="shared" si="1"/>
        <v/>
      </c>
      <c r="T190" s="37" t="str">
        <f t="shared" si="2"/>
        <v/>
      </c>
      <c r="U190" s="38" t="str">
        <f t="shared" si="3"/>
        <v/>
      </c>
      <c r="V190" s="32" t="str">
        <f t="shared" si="4"/>
        <v/>
      </c>
      <c r="W190" s="39" t="str">
        <f>IFERROR(__xludf.DUMMYFUNCTION(" IF(Account!$F190&lt;&gt;"""", SPLIT(Account!$F190, "" ""), """")"),"")</f>
        <v/>
      </c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</row>
    <row r="191">
      <c r="A191" s="12"/>
      <c r="B191" s="12"/>
      <c r="C191" s="12"/>
      <c r="D191" s="12"/>
      <c r="E191" s="12"/>
      <c r="F191" s="13"/>
      <c r="G191" s="12"/>
      <c r="H191" s="12"/>
      <c r="I191" s="12"/>
      <c r="J191" s="12"/>
      <c r="K191" s="12"/>
      <c r="L191" s="13"/>
      <c r="M191" s="30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2" t="str">
        <f>IFERROR(__xludf.DUMMYFUNCTION("IF(Account!$F191&lt;&gt;"""", VALUE(REGEXREPLACE($I191, ""\,"", ""."")), """")"),"")</f>
        <v/>
      </c>
      <c r="O191" s="33" t="str">
        <f>IF(Account!$F191&lt;&gt;"", DATEVALUE(MID($A191,4,3) &amp; LEFT($A191,3) &amp; RIGHT($A191,4)) + TIMEVALUE($B191), "")</f>
        <v/>
      </c>
      <c r="P191" s="34" t="str">
        <f>IF(Account!$F191&lt;&gt;"", DATEVALUE(MID($C191,4,3) &amp; LEFT($C191,3) &amp; RIGHT($C191,4)), "")</f>
        <v/>
      </c>
      <c r="Q191" s="35" t="str">
        <f t="array" ref="Q191">IF($R191&lt;&gt;"",IFERROR(INDEX(ISIN!$B:$B,MATCH($R191,ISIN!$C:$C,0))),)</f>
        <v/>
      </c>
      <c r="R191" s="36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5" t="str">
        <f t="shared" si="1"/>
        <v/>
      </c>
      <c r="T191" s="37" t="str">
        <f t="shared" si="2"/>
        <v/>
      </c>
      <c r="U191" s="38" t="str">
        <f t="shared" si="3"/>
        <v/>
      </c>
      <c r="V191" s="32" t="str">
        <f t="shared" si="4"/>
        <v/>
      </c>
      <c r="W191" s="39" t="str">
        <f>IFERROR(__xludf.DUMMYFUNCTION(" IF(Account!$F191&lt;&gt;"""", SPLIT(Account!$F191, "" ""), """")"),"")</f>
        <v/>
      </c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</row>
    <row r="192">
      <c r="A192" s="12"/>
      <c r="B192" s="12"/>
      <c r="C192" s="12"/>
      <c r="D192" s="12"/>
      <c r="E192" s="12"/>
      <c r="F192" s="13"/>
      <c r="G192" s="291"/>
      <c r="H192" s="12"/>
      <c r="I192" s="12"/>
      <c r="J192" s="12"/>
      <c r="K192" s="12"/>
      <c r="L192" s="13"/>
      <c r="M192" s="30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2" t="str">
        <f>IFERROR(__xludf.DUMMYFUNCTION("IF(Account!$F192&lt;&gt;"""", VALUE(REGEXREPLACE($I192, ""\,"", ""."")), """")"),"")</f>
        <v/>
      </c>
      <c r="O192" s="33" t="str">
        <f>IF(Account!$F192&lt;&gt;"", DATEVALUE(MID($A192,4,3) &amp; LEFT($A192,3) &amp; RIGHT($A192,4)) + TIMEVALUE($B192), "")</f>
        <v/>
      </c>
      <c r="P192" s="34" t="str">
        <f>IF(Account!$F192&lt;&gt;"", DATEVALUE(MID($C192,4,3) &amp; LEFT($C192,3) &amp; RIGHT($C192,4)), "")</f>
        <v/>
      </c>
      <c r="Q192" s="35" t="str">
        <f t="array" ref="Q192">IF($R192&lt;&gt;"",IFERROR(INDEX(ISIN!$B:$B,MATCH($R192,ISIN!$C:$C,0))),)</f>
        <v/>
      </c>
      <c r="R192" s="36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5" t="str">
        <f t="shared" si="1"/>
        <v/>
      </c>
      <c r="T192" s="37" t="str">
        <f t="shared" si="2"/>
        <v/>
      </c>
      <c r="U192" s="38" t="str">
        <f t="shared" si="3"/>
        <v/>
      </c>
      <c r="V192" s="32" t="str">
        <f t="shared" si="4"/>
        <v/>
      </c>
      <c r="W192" s="39" t="str">
        <f>IFERROR(__xludf.DUMMYFUNCTION(" IF(Account!$F192&lt;&gt;"""", SPLIT(Account!$F192, "" ""), """")"),"")</f>
        <v/>
      </c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</row>
    <row r="193">
      <c r="A193" s="12"/>
      <c r="B193" s="12"/>
      <c r="C193" s="12"/>
      <c r="D193" s="12"/>
      <c r="E193" s="12"/>
      <c r="F193" s="13"/>
      <c r="G193" s="12"/>
      <c r="H193" s="12"/>
      <c r="I193" s="12"/>
      <c r="J193" s="12"/>
      <c r="K193" s="12"/>
      <c r="L193" s="13"/>
      <c r="M193" s="30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2" t="str">
        <f>IFERROR(__xludf.DUMMYFUNCTION("IF(Account!$F193&lt;&gt;"""", VALUE(REGEXREPLACE($I193, ""\,"", ""."")), """")"),"")</f>
        <v/>
      </c>
      <c r="O193" s="33" t="str">
        <f>IF(Account!$F193&lt;&gt;"", DATEVALUE(MID($A193,4,3) &amp; LEFT($A193,3) &amp; RIGHT($A193,4)) + TIMEVALUE($B193), "")</f>
        <v/>
      </c>
      <c r="P193" s="34" t="str">
        <f>IF(Account!$F193&lt;&gt;"", DATEVALUE(MID($C193,4,3) &amp; LEFT($C193,3) &amp; RIGHT($C193,4)), "")</f>
        <v/>
      </c>
      <c r="Q193" s="35" t="str">
        <f t="array" ref="Q193">IF($R193&lt;&gt;"",IFERROR(INDEX(ISIN!$B:$B,MATCH($R193,ISIN!$C:$C,0))),)</f>
        <v/>
      </c>
      <c r="R193" s="36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5" t="str">
        <f t="shared" si="1"/>
        <v/>
      </c>
      <c r="T193" s="37" t="str">
        <f t="shared" si="2"/>
        <v/>
      </c>
      <c r="U193" s="38" t="str">
        <f t="shared" si="3"/>
        <v/>
      </c>
      <c r="V193" s="32" t="str">
        <f t="shared" si="4"/>
        <v/>
      </c>
      <c r="W193" s="39" t="str">
        <f>IFERROR(__xludf.DUMMYFUNCTION(" IF(Account!$F193&lt;&gt;"""", SPLIT(Account!$F193, "" ""), """")"),"")</f>
        <v/>
      </c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</row>
    <row r="194">
      <c r="A194" s="12"/>
      <c r="B194" s="12"/>
      <c r="C194" s="12"/>
      <c r="D194" s="12"/>
      <c r="E194" s="12"/>
      <c r="F194" s="13"/>
      <c r="G194" s="291"/>
      <c r="H194" s="12"/>
      <c r="I194" s="12"/>
      <c r="J194" s="12"/>
      <c r="K194" s="12"/>
      <c r="L194" s="13"/>
      <c r="M194" s="30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2" t="str">
        <f>IFERROR(__xludf.DUMMYFUNCTION("IF(Account!$F194&lt;&gt;"""", VALUE(REGEXREPLACE($I194, ""\,"", ""."")), """")"),"")</f>
        <v/>
      </c>
      <c r="O194" s="33" t="str">
        <f>IF(Account!$F194&lt;&gt;"", DATEVALUE(MID($A194,4,3) &amp; LEFT($A194,3) &amp; RIGHT($A194,4)) + TIMEVALUE($B194), "")</f>
        <v/>
      </c>
      <c r="P194" s="34" t="str">
        <f>IF(Account!$F194&lt;&gt;"", DATEVALUE(MID($C194,4,3) &amp; LEFT($C194,3) &amp; RIGHT($C194,4)), "")</f>
        <v/>
      </c>
      <c r="Q194" s="35" t="str">
        <f t="array" ref="Q194">IF($R194&lt;&gt;"",IFERROR(INDEX(ISIN!$B:$B,MATCH($R194,ISIN!$C:$C,0))),)</f>
        <v/>
      </c>
      <c r="R194" s="36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5" t="str">
        <f t="shared" si="1"/>
        <v/>
      </c>
      <c r="T194" s="37" t="str">
        <f t="shared" si="2"/>
        <v/>
      </c>
      <c r="U194" s="38" t="str">
        <f t="shared" si="3"/>
        <v/>
      </c>
      <c r="V194" s="32" t="str">
        <f t="shared" si="4"/>
        <v/>
      </c>
      <c r="W194" s="39" t="str">
        <f>IFERROR(__xludf.DUMMYFUNCTION(" IF(Account!$F194&lt;&gt;"""", SPLIT(Account!$F194, "" ""), """")"),"")</f>
        <v/>
      </c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</row>
    <row r="195">
      <c r="A195" s="12"/>
      <c r="B195" s="12"/>
      <c r="C195" s="12"/>
      <c r="D195" s="12"/>
      <c r="E195" s="12"/>
      <c r="F195" s="13"/>
      <c r="G195" s="12"/>
      <c r="H195" s="12"/>
      <c r="I195" s="12"/>
      <c r="J195" s="12"/>
      <c r="K195" s="12"/>
      <c r="L195" s="13"/>
      <c r="M195" s="30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2" t="str">
        <f>IFERROR(__xludf.DUMMYFUNCTION("IF(Account!$F195&lt;&gt;"""", VALUE(REGEXREPLACE($I195, ""\,"", ""."")), """")"),"")</f>
        <v/>
      </c>
      <c r="O195" s="33" t="str">
        <f>IF(Account!$F195&lt;&gt;"", DATEVALUE(MID($A195,4,3) &amp; LEFT($A195,3) &amp; RIGHT($A195,4)) + TIMEVALUE($B195), "")</f>
        <v/>
      </c>
      <c r="P195" s="34" t="str">
        <f>IF(Account!$F195&lt;&gt;"", DATEVALUE(MID($C195,4,3) &amp; LEFT($C195,3) &amp; RIGHT($C195,4)), "")</f>
        <v/>
      </c>
      <c r="Q195" s="35" t="str">
        <f t="array" ref="Q195">IF($R195&lt;&gt;"",IFERROR(INDEX(ISIN!$B:$B,MATCH($R195,ISIN!$C:$C,0))),)</f>
        <v/>
      </c>
      <c r="R195" s="36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5" t="str">
        <f t="shared" si="1"/>
        <v/>
      </c>
      <c r="T195" s="37" t="str">
        <f t="shared" si="2"/>
        <v/>
      </c>
      <c r="U195" s="38" t="str">
        <f t="shared" si="3"/>
        <v/>
      </c>
      <c r="V195" s="32" t="str">
        <f t="shared" si="4"/>
        <v/>
      </c>
      <c r="W195" s="39" t="str">
        <f>IFERROR(__xludf.DUMMYFUNCTION(" IF(Account!$F195&lt;&gt;"""", SPLIT(Account!$F195, "" ""), """")"),"")</f>
        <v/>
      </c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</row>
    <row r="196">
      <c r="A196" s="12"/>
      <c r="B196" s="12"/>
      <c r="C196" s="12"/>
      <c r="D196" s="12"/>
      <c r="E196" s="12"/>
      <c r="F196" s="13"/>
      <c r="G196" s="291"/>
      <c r="H196" s="12"/>
      <c r="I196" s="12"/>
      <c r="J196" s="12"/>
      <c r="K196" s="12"/>
      <c r="L196" s="13"/>
      <c r="M196" s="30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2" t="str">
        <f>IFERROR(__xludf.DUMMYFUNCTION("IF(Account!$F196&lt;&gt;"""", VALUE(REGEXREPLACE($I196, ""\,"", ""."")), """")"),"")</f>
        <v/>
      </c>
      <c r="O196" s="33" t="str">
        <f>IF(Account!$F196&lt;&gt;"", DATEVALUE(MID($A196,4,3) &amp; LEFT($A196,3) &amp; RIGHT($A196,4)) + TIMEVALUE($B196), "")</f>
        <v/>
      </c>
      <c r="P196" s="34" t="str">
        <f>IF(Account!$F196&lt;&gt;"", DATEVALUE(MID($C196,4,3) &amp; LEFT($C196,3) &amp; RIGHT($C196,4)), "")</f>
        <v/>
      </c>
      <c r="Q196" s="35" t="str">
        <f t="array" ref="Q196">IF($R196&lt;&gt;"",IFERROR(INDEX(ISIN!$B:$B,MATCH($R196,ISIN!$C:$C,0))),)</f>
        <v/>
      </c>
      <c r="R196" s="36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5" t="str">
        <f t="shared" si="1"/>
        <v/>
      </c>
      <c r="T196" s="37" t="str">
        <f t="shared" si="2"/>
        <v/>
      </c>
      <c r="U196" s="38" t="str">
        <f t="shared" si="3"/>
        <v/>
      </c>
      <c r="V196" s="32" t="str">
        <f t="shared" si="4"/>
        <v/>
      </c>
      <c r="W196" s="39" t="str">
        <f>IFERROR(__xludf.DUMMYFUNCTION(" IF(Account!$F196&lt;&gt;"""", SPLIT(Account!$F196, "" ""), """")"),"")</f>
        <v/>
      </c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</row>
    <row r="197">
      <c r="A197" s="12"/>
      <c r="B197" s="12"/>
      <c r="C197" s="12"/>
      <c r="D197" s="12"/>
      <c r="E197" s="12"/>
      <c r="F197" s="13"/>
      <c r="G197" s="12"/>
      <c r="H197" s="12"/>
      <c r="I197" s="12"/>
      <c r="J197" s="12"/>
      <c r="K197" s="12"/>
      <c r="L197" s="13"/>
      <c r="M197" s="30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2" t="str">
        <f>IFERROR(__xludf.DUMMYFUNCTION("IF(Account!$F197&lt;&gt;"""", VALUE(REGEXREPLACE($I197, ""\,"", ""."")), """")"),"")</f>
        <v/>
      </c>
      <c r="O197" s="33" t="str">
        <f>IF(Account!$F197&lt;&gt;"", DATEVALUE(MID($A197,4,3) &amp; LEFT($A197,3) &amp; RIGHT($A197,4)) + TIMEVALUE($B197), "")</f>
        <v/>
      </c>
      <c r="P197" s="34" t="str">
        <f>IF(Account!$F197&lt;&gt;"", DATEVALUE(MID($C197,4,3) &amp; LEFT($C197,3) &amp; RIGHT($C197,4)), "")</f>
        <v/>
      </c>
      <c r="Q197" s="35" t="str">
        <f t="array" ref="Q197">IF($R197&lt;&gt;"",IFERROR(INDEX(ISIN!$B:$B,MATCH($R197,ISIN!$C:$C,0))),)</f>
        <v/>
      </c>
      <c r="R197" s="36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5" t="str">
        <f t="shared" si="1"/>
        <v/>
      </c>
      <c r="T197" s="37" t="str">
        <f t="shared" si="2"/>
        <v/>
      </c>
      <c r="U197" s="38" t="str">
        <f t="shared" si="3"/>
        <v/>
      </c>
      <c r="V197" s="32" t="str">
        <f t="shared" si="4"/>
        <v/>
      </c>
      <c r="W197" s="39" t="str">
        <f>IFERROR(__xludf.DUMMYFUNCTION(" IF(Account!$F197&lt;&gt;"""", SPLIT(Account!$F197, "" ""), """")"),"")</f>
        <v/>
      </c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</row>
    <row r="198">
      <c r="A198" s="12"/>
      <c r="B198" s="12"/>
      <c r="C198" s="12"/>
      <c r="D198" s="12"/>
      <c r="E198" s="12"/>
      <c r="F198" s="13"/>
      <c r="G198" s="291"/>
      <c r="H198" s="12"/>
      <c r="I198" s="12"/>
      <c r="J198" s="12"/>
      <c r="K198" s="12"/>
      <c r="L198" s="13"/>
      <c r="M198" s="30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2" t="str">
        <f>IFERROR(__xludf.DUMMYFUNCTION("IF(Account!$F198&lt;&gt;"""", VALUE(REGEXREPLACE($I198, ""\,"", ""."")), """")"),"")</f>
        <v/>
      </c>
      <c r="O198" s="33" t="str">
        <f>IF(Account!$F198&lt;&gt;"", DATEVALUE(MID($A198,4,3) &amp; LEFT($A198,3) &amp; RIGHT($A198,4)) + TIMEVALUE($B198), "")</f>
        <v/>
      </c>
      <c r="P198" s="34" t="str">
        <f>IF(Account!$F198&lt;&gt;"", DATEVALUE(MID($C198,4,3) &amp; LEFT($C198,3) &amp; RIGHT($C198,4)), "")</f>
        <v/>
      </c>
      <c r="Q198" s="35" t="str">
        <f t="array" ref="Q198">IF($R198&lt;&gt;"",IFERROR(INDEX(ISIN!$B:$B,MATCH($R198,ISIN!$C:$C,0))),)</f>
        <v/>
      </c>
      <c r="R198" s="36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5" t="str">
        <f t="shared" si="1"/>
        <v/>
      </c>
      <c r="T198" s="37" t="str">
        <f t="shared" si="2"/>
        <v/>
      </c>
      <c r="U198" s="38" t="str">
        <f t="shared" si="3"/>
        <v/>
      </c>
      <c r="V198" s="32" t="str">
        <f t="shared" si="4"/>
        <v/>
      </c>
      <c r="W198" s="39" t="str">
        <f>IFERROR(__xludf.DUMMYFUNCTION(" IF(Account!$F198&lt;&gt;"""", SPLIT(Account!$F198, "" ""), """")"),"")</f>
        <v/>
      </c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</row>
    <row r="199">
      <c r="A199" s="12"/>
      <c r="B199" s="12"/>
      <c r="C199" s="12"/>
      <c r="D199" s="12"/>
      <c r="E199" s="12"/>
      <c r="F199" s="13"/>
      <c r="G199" s="12"/>
      <c r="H199" s="12"/>
      <c r="I199" s="12"/>
      <c r="J199" s="12"/>
      <c r="K199" s="12"/>
      <c r="L199" s="13"/>
      <c r="M199" s="30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2" t="str">
        <f>IFERROR(__xludf.DUMMYFUNCTION("IF(Account!$F199&lt;&gt;"""", VALUE(REGEXREPLACE($I199, ""\,"", ""."")), """")"),"")</f>
        <v/>
      </c>
      <c r="O199" s="33" t="str">
        <f>IF(Account!$F199&lt;&gt;"", DATEVALUE(MID($A199,4,3) &amp; LEFT($A199,3) &amp; RIGHT($A199,4)) + TIMEVALUE($B199), "")</f>
        <v/>
      </c>
      <c r="P199" s="34" t="str">
        <f>IF(Account!$F199&lt;&gt;"", DATEVALUE(MID($C199,4,3) &amp; LEFT($C199,3) &amp; RIGHT($C199,4)), "")</f>
        <v/>
      </c>
      <c r="Q199" s="35" t="str">
        <f t="array" ref="Q199">IF($R199&lt;&gt;"",IFERROR(INDEX(ISIN!$B:$B,MATCH($R199,ISIN!$C:$C,0))),)</f>
        <v/>
      </c>
      <c r="R199" s="36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5" t="str">
        <f t="shared" si="1"/>
        <v/>
      </c>
      <c r="T199" s="37" t="str">
        <f t="shared" si="2"/>
        <v/>
      </c>
      <c r="U199" s="38" t="str">
        <f t="shared" si="3"/>
        <v/>
      </c>
      <c r="V199" s="32" t="str">
        <f t="shared" si="4"/>
        <v/>
      </c>
      <c r="W199" s="39" t="str">
        <f>IFERROR(__xludf.DUMMYFUNCTION(" IF(Account!$F199&lt;&gt;"""", SPLIT(Account!$F199, "" ""), """")"),"")</f>
        <v/>
      </c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</row>
    <row r="200">
      <c r="A200" s="12"/>
      <c r="B200" s="12"/>
      <c r="C200" s="12"/>
      <c r="D200" s="12"/>
      <c r="E200" s="12"/>
      <c r="F200" s="13"/>
      <c r="G200" s="291"/>
      <c r="H200" s="12"/>
      <c r="I200" s="12"/>
      <c r="J200" s="12"/>
      <c r="K200" s="12"/>
      <c r="L200" s="13"/>
      <c r="M200" s="30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2" t="str">
        <f>IFERROR(__xludf.DUMMYFUNCTION("IF(Account!$F200&lt;&gt;"""", VALUE(REGEXREPLACE($I200, ""\,"", ""."")), """")"),"")</f>
        <v/>
      </c>
      <c r="O200" s="33" t="str">
        <f>IF(Account!$F200&lt;&gt;"", DATEVALUE(MID($A200,4,3) &amp; LEFT($A200,3) &amp; RIGHT($A200,4)) + TIMEVALUE($B200), "")</f>
        <v/>
      </c>
      <c r="P200" s="34" t="str">
        <f>IF(Account!$F200&lt;&gt;"", DATEVALUE(MID($C200,4,3) &amp; LEFT($C200,3) &amp; RIGHT($C200,4)), "")</f>
        <v/>
      </c>
      <c r="Q200" s="35" t="str">
        <f t="array" ref="Q200">IF($R200&lt;&gt;"",IFERROR(INDEX(ISIN!$B:$B,MATCH($R200,ISIN!$C:$C,0))),)</f>
        <v/>
      </c>
      <c r="R200" s="36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5" t="str">
        <f t="shared" si="1"/>
        <v/>
      </c>
      <c r="T200" s="37" t="str">
        <f t="shared" si="2"/>
        <v/>
      </c>
      <c r="U200" s="38" t="str">
        <f t="shared" si="3"/>
        <v/>
      </c>
      <c r="V200" s="32" t="str">
        <f t="shared" si="4"/>
        <v/>
      </c>
      <c r="W200" s="39" t="str">
        <f>IFERROR(__xludf.DUMMYFUNCTION(" IF(Account!$F200&lt;&gt;"""", SPLIT(Account!$F200, "" ""), """")"),"")</f>
        <v/>
      </c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</row>
    <row r="201">
      <c r="A201" s="12"/>
      <c r="B201" s="12"/>
      <c r="C201" s="12"/>
      <c r="D201" s="12"/>
      <c r="E201" s="12"/>
      <c r="F201" s="13"/>
      <c r="G201" s="12"/>
      <c r="H201" s="12"/>
      <c r="I201" s="12"/>
      <c r="J201" s="12"/>
      <c r="K201" s="12"/>
      <c r="L201" s="13"/>
      <c r="M201" s="30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2" t="str">
        <f>IFERROR(__xludf.DUMMYFUNCTION("IF(Account!$F201&lt;&gt;"""", VALUE(REGEXREPLACE($I201, ""\,"", ""."")), """")"),"")</f>
        <v/>
      </c>
      <c r="O201" s="33" t="str">
        <f>IF(Account!$F201&lt;&gt;"", DATEVALUE(MID($A201,4,3) &amp; LEFT($A201,3) &amp; RIGHT($A201,4)) + TIMEVALUE($B201), "")</f>
        <v/>
      </c>
      <c r="P201" s="34" t="str">
        <f>IF(Account!$F201&lt;&gt;"", DATEVALUE(MID($C201,4,3) &amp; LEFT($C201,3) &amp; RIGHT($C201,4)), "")</f>
        <v/>
      </c>
      <c r="Q201" s="35" t="str">
        <f t="array" ref="Q201">IF($R201&lt;&gt;"",IFERROR(INDEX(ISIN!$B:$B,MATCH($R201,ISIN!$C:$C,0))),)</f>
        <v/>
      </c>
      <c r="R201" s="36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5" t="str">
        <f t="shared" si="1"/>
        <v/>
      </c>
      <c r="T201" s="37" t="str">
        <f t="shared" si="2"/>
        <v/>
      </c>
      <c r="U201" s="38" t="str">
        <f t="shared" si="3"/>
        <v/>
      </c>
      <c r="V201" s="32" t="str">
        <f t="shared" si="4"/>
        <v/>
      </c>
      <c r="W201" s="39" t="str">
        <f>IFERROR(__xludf.DUMMYFUNCTION(" IF(Account!$F201&lt;&gt;"""", SPLIT(Account!$F201, "" ""), """")"),"")</f>
        <v/>
      </c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</row>
    <row r="202">
      <c r="A202" s="12"/>
      <c r="B202" s="12"/>
      <c r="C202" s="12"/>
      <c r="D202" s="12"/>
      <c r="E202" s="12"/>
      <c r="F202" s="13"/>
      <c r="G202" s="12"/>
      <c r="H202" s="12"/>
      <c r="I202" s="12"/>
      <c r="J202" s="12"/>
      <c r="K202" s="12"/>
      <c r="L202" s="13"/>
      <c r="M202" s="30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2" t="str">
        <f>IFERROR(__xludf.DUMMYFUNCTION("IF(Account!$F202&lt;&gt;"""", VALUE(REGEXREPLACE($I202, ""\,"", ""."")), """")"),"")</f>
        <v/>
      </c>
      <c r="O202" s="33" t="str">
        <f>IF(Account!$F202&lt;&gt;"", DATEVALUE(MID($A202,4,3) &amp; LEFT($A202,3) &amp; RIGHT($A202,4)) + TIMEVALUE($B202), "")</f>
        <v/>
      </c>
      <c r="P202" s="34" t="str">
        <f>IF(Account!$F202&lt;&gt;"", DATEVALUE(MID($C202,4,3) &amp; LEFT($C202,3) &amp; RIGHT($C202,4)), "")</f>
        <v/>
      </c>
      <c r="Q202" s="35" t="str">
        <f t="array" ref="Q202">IF($R202&lt;&gt;"",IFERROR(INDEX(ISIN!$B:$B,MATCH($R202,ISIN!$C:$C,0))),)</f>
        <v/>
      </c>
      <c r="R202" s="36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5" t="str">
        <f t="shared" si="1"/>
        <v/>
      </c>
      <c r="T202" s="37" t="str">
        <f t="shared" si="2"/>
        <v/>
      </c>
      <c r="U202" s="38" t="str">
        <f t="shared" si="3"/>
        <v/>
      </c>
      <c r="V202" s="32" t="str">
        <f t="shared" si="4"/>
        <v/>
      </c>
      <c r="W202" s="39" t="str">
        <f>IFERROR(__xludf.DUMMYFUNCTION(" IF(Account!$F202&lt;&gt;"""", SPLIT(Account!$F202, "" ""), """")"),"")</f>
        <v/>
      </c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</row>
    <row r="203">
      <c r="A203" s="12"/>
      <c r="B203" s="12"/>
      <c r="C203" s="12"/>
      <c r="D203" s="12"/>
      <c r="E203" s="12"/>
      <c r="F203" s="13"/>
      <c r="G203" s="12"/>
      <c r="H203" s="12"/>
      <c r="I203" s="12"/>
      <c r="J203" s="12"/>
      <c r="K203" s="12"/>
      <c r="L203" s="13"/>
      <c r="M203" s="30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2" t="str">
        <f>IFERROR(__xludf.DUMMYFUNCTION("IF(Account!$F203&lt;&gt;"""", VALUE(REGEXREPLACE($I203, ""\,"", ""."")), """")"),"")</f>
        <v/>
      </c>
      <c r="O203" s="33" t="str">
        <f>IF(Account!$F203&lt;&gt;"", DATEVALUE(MID($A203,4,3) &amp; LEFT($A203,3) &amp; RIGHT($A203,4)) + TIMEVALUE($B203), "")</f>
        <v/>
      </c>
      <c r="P203" s="34" t="str">
        <f>IF(Account!$F203&lt;&gt;"", DATEVALUE(MID($C203,4,3) &amp; LEFT($C203,3) &amp; RIGHT($C203,4)), "")</f>
        <v/>
      </c>
      <c r="Q203" s="35" t="str">
        <f t="array" ref="Q203">IF($R203&lt;&gt;"",IFERROR(INDEX(ISIN!$B:$B,MATCH($R203,ISIN!$C:$C,0))),)</f>
        <v/>
      </c>
      <c r="R203" s="36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5" t="str">
        <f t="shared" si="1"/>
        <v/>
      </c>
      <c r="T203" s="37" t="str">
        <f t="shared" si="2"/>
        <v/>
      </c>
      <c r="U203" s="38" t="str">
        <f t="shared" si="3"/>
        <v/>
      </c>
      <c r="V203" s="32" t="str">
        <f t="shared" si="4"/>
        <v/>
      </c>
      <c r="W203" s="39" t="str">
        <f>IFERROR(__xludf.DUMMYFUNCTION(" IF(Account!$F203&lt;&gt;"""", SPLIT(Account!$F203, "" ""), """")"),"")</f>
        <v/>
      </c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</row>
    <row r="204">
      <c r="A204" s="12"/>
      <c r="B204" s="12"/>
      <c r="C204" s="12"/>
      <c r="D204" s="12"/>
      <c r="E204" s="12"/>
      <c r="F204" s="13"/>
      <c r="G204" s="291"/>
      <c r="H204" s="12"/>
      <c r="I204" s="12"/>
      <c r="J204" s="12"/>
      <c r="K204" s="12"/>
      <c r="L204" s="13"/>
      <c r="M204" s="30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2" t="str">
        <f>IFERROR(__xludf.DUMMYFUNCTION("IF(Account!$F204&lt;&gt;"""", VALUE(REGEXREPLACE($I204, ""\,"", ""."")), """")"),"")</f>
        <v/>
      </c>
      <c r="O204" s="33" t="str">
        <f>IF(Account!$F204&lt;&gt;"", DATEVALUE(MID($A204,4,3) &amp; LEFT($A204,3) &amp; RIGHT($A204,4)) + TIMEVALUE($B204), "")</f>
        <v/>
      </c>
      <c r="P204" s="34" t="str">
        <f>IF(Account!$F204&lt;&gt;"", DATEVALUE(MID($C204,4,3) &amp; LEFT($C204,3) &amp; RIGHT($C204,4)), "")</f>
        <v/>
      </c>
      <c r="Q204" s="35" t="str">
        <f t="array" ref="Q204">IF($R204&lt;&gt;"",IFERROR(INDEX(ISIN!$B:$B,MATCH($R204,ISIN!$C:$C,0))),)</f>
        <v/>
      </c>
      <c r="R204" s="36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5" t="str">
        <f t="shared" si="1"/>
        <v/>
      </c>
      <c r="T204" s="37" t="str">
        <f t="shared" si="2"/>
        <v/>
      </c>
      <c r="U204" s="38" t="str">
        <f t="shared" si="3"/>
        <v/>
      </c>
      <c r="V204" s="32" t="str">
        <f t="shared" si="4"/>
        <v/>
      </c>
      <c r="W204" s="39" t="str">
        <f>IFERROR(__xludf.DUMMYFUNCTION(" IF(Account!$F204&lt;&gt;"""", SPLIT(Account!$F204, "" ""), """")"),"")</f>
        <v/>
      </c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</row>
    <row r="205">
      <c r="A205" s="12"/>
      <c r="B205" s="12"/>
      <c r="C205" s="12"/>
      <c r="D205" s="12"/>
      <c r="E205" s="12"/>
      <c r="F205" s="13"/>
      <c r="G205" s="12"/>
      <c r="H205" s="12"/>
      <c r="I205" s="12"/>
      <c r="J205" s="12"/>
      <c r="K205" s="12"/>
      <c r="L205" s="13"/>
      <c r="M205" s="30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2" t="str">
        <f>IFERROR(__xludf.DUMMYFUNCTION("IF(Account!$F205&lt;&gt;"""", VALUE(REGEXREPLACE($I205, ""\,"", ""."")), """")"),"")</f>
        <v/>
      </c>
      <c r="O205" s="33" t="str">
        <f>IF(Account!$F205&lt;&gt;"", DATEVALUE(MID($A205,4,3) &amp; LEFT($A205,3) &amp; RIGHT($A205,4)) + TIMEVALUE($B205), "")</f>
        <v/>
      </c>
      <c r="P205" s="34" t="str">
        <f>IF(Account!$F205&lt;&gt;"", DATEVALUE(MID($C205,4,3) &amp; LEFT($C205,3) &amp; RIGHT($C205,4)), "")</f>
        <v/>
      </c>
      <c r="Q205" s="35" t="str">
        <f t="array" ref="Q205">IF($R205&lt;&gt;"",IFERROR(INDEX(ISIN!$B:$B,MATCH($R205,ISIN!$C:$C,0))),)</f>
        <v/>
      </c>
      <c r="R205" s="36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5" t="str">
        <f t="shared" si="1"/>
        <v/>
      </c>
      <c r="T205" s="37" t="str">
        <f t="shared" si="2"/>
        <v/>
      </c>
      <c r="U205" s="38" t="str">
        <f t="shared" si="3"/>
        <v/>
      </c>
      <c r="V205" s="32" t="str">
        <f t="shared" si="4"/>
        <v/>
      </c>
      <c r="W205" s="39" t="str">
        <f>IFERROR(__xludf.DUMMYFUNCTION(" IF(Account!$F205&lt;&gt;"""", SPLIT(Account!$F205, "" ""), """")"),"")</f>
        <v/>
      </c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</row>
    <row r="206">
      <c r="A206" s="12"/>
      <c r="B206" s="12"/>
      <c r="C206" s="12"/>
      <c r="D206" s="12"/>
      <c r="E206" s="12"/>
      <c r="F206" s="13"/>
      <c r="G206" s="12"/>
      <c r="H206" s="12"/>
      <c r="I206" s="12"/>
      <c r="J206" s="12"/>
      <c r="K206" s="12"/>
      <c r="L206" s="13"/>
      <c r="M206" s="30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2" t="str">
        <f>IFERROR(__xludf.DUMMYFUNCTION("IF(Account!$F206&lt;&gt;"""", VALUE(REGEXREPLACE($I206, ""\,"", ""."")), """")"),"")</f>
        <v/>
      </c>
      <c r="O206" s="33" t="str">
        <f>IF(Account!$F206&lt;&gt;"", DATEVALUE(MID($A206,4,3) &amp; LEFT($A206,3) &amp; RIGHT($A206,4)) + TIMEVALUE($B206), "")</f>
        <v/>
      </c>
      <c r="P206" s="34" t="str">
        <f>IF(Account!$F206&lt;&gt;"", DATEVALUE(MID($C206,4,3) &amp; LEFT($C206,3) &amp; RIGHT($C206,4)), "")</f>
        <v/>
      </c>
      <c r="Q206" s="35" t="str">
        <f t="array" ref="Q206">IF($R206&lt;&gt;"",IFERROR(INDEX(ISIN!$B:$B,MATCH($R206,ISIN!$C:$C,0))),)</f>
        <v/>
      </c>
      <c r="R206" s="36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5" t="str">
        <f t="shared" si="1"/>
        <v/>
      </c>
      <c r="T206" s="37" t="str">
        <f t="shared" si="2"/>
        <v/>
      </c>
      <c r="U206" s="38" t="str">
        <f t="shared" si="3"/>
        <v/>
      </c>
      <c r="V206" s="32" t="str">
        <f t="shared" si="4"/>
        <v/>
      </c>
      <c r="W206" s="39" t="str">
        <f>IFERROR(__xludf.DUMMYFUNCTION(" IF(Account!$F206&lt;&gt;"""", SPLIT(Account!$F206, "" ""), """")"),"")</f>
        <v/>
      </c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</row>
    <row r="207">
      <c r="A207" s="12"/>
      <c r="B207" s="12"/>
      <c r="C207" s="12"/>
      <c r="D207" s="12"/>
      <c r="E207" s="12"/>
      <c r="F207" s="13"/>
      <c r="G207" s="12"/>
      <c r="H207" s="12"/>
      <c r="I207" s="12"/>
      <c r="J207" s="12"/>
      <c r="K207" s="12"/>
      <c r="L207" s="13"/>
      <c r="M207" s="30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2" t="str">
        <f>IFERROR(__xludf.DUMMYFUNCTION("IF(Account!$F207&lt;&gt;"""", VALUE(REGEXREPLACE($I207, ""\,"", ""."")), """")"),"")</f>
        <v/>
      </c>
      <c r="O207" s="33" t="str">
        <f>IF(Account!$F207&lt;&gt;"", DATEVALUE(MID($A207,4,3) &amp; LEFT($A207,3) &amp; RIGHT($A207,4)) + TIMEVALUE($B207), "")</f>
        <v/>
      </c>
      <c r="P207" s="34" t="str">
        <f>IF(Account!$F207&lt;&gt;"", DATEVALUE(MID($C207,4,3) &amp; LEFT($C207,3) &amp; RIGHT($C207,4)), "")</f>
        <v/>
      </c>
      <c r="Q207" s="35" t="str">
        <f t="array" ref="Q207">IF($R207&lt;&gt;"",IFERROR(INDEX(ISIN!$B:$B,MATCH($R207,ISIN!$C:$C,0))),)</f>
        <v/>
      </c>
      <c r="R207" s="36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5" t="str">
        <f t="shared" si="1"/>
        <v/>
      </c>
      <c r="T207" s="37" t="str">
        <f t="shared" si="2"/>
        <v/>
      </c>
      <c r="U207" s="38" t="str">
        <f t="shared" si="3"/>
        <v/>
      </c>
      <c r="V207" s="32" t="str">
        <f t="shared" si="4"/>
        <v/>
      </c>
      <c r="W207" s="39" t="str">
        <f>IFERROR(__xludf.DUMMYFUNCTION(" IF(Account!$F207&lt;&gt;"""", SPLIT(Account!$F207, "" ""), """")"),"")</f>
        <v/>
      </c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</row>
    <row r="208">
      <c r="A208" s="12"/>
      <c r="B208" s="12"/>
      <c r="C208" s="12"/>
      <c r="D208" s="12"/>
      <c r="E208" s="12"/>
      <c r="F208" s="13"/>
      <c r="G208" s="12"/>
      <c r="H208" s="12"/>
      <c r="I208" s="12"/>
      <c r="J208" s="12"/>
      <c r="K208" s="12"/>
      <c r="L208" s="13"/>
      <c r="M208" s="30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2" t="str">
        <f>IFERROR(__xludf.DUMMYFUNCTION("IF(Account!$F208&lt;&gt;"""", VALUE(REGEXREPLACE($I208, ""\,"", ""."")), """")"),"")</f>
        <v/>
      </c>
      <c r="O208" s="33" t="str">
        <f>IF(Account!$F208&lt;&gt;"", DATEVALUE(MID($A208,4,3) &amp; LEFT($A208,3) &amp; RIGHT($A208,4)) + TIMEVALUE($B208), "")</f>
        <v/>
      </c>
      <c r="P208" s="34" t="str">
        <f>IF(Account!$F208&lt;&gt;"", DATEVALUE(MID($C208,4,3) &amp; LEFT($C208,3) &amp; RIGHT($C208,4)), "")</f>
        <v/>
      </c>
      <c r="Q208" s="35" t="str">
        <f t="array" ref="Q208">IF($R208&lt;&gt;"",IFERROR(INDEX(ISIN!$B:$B,MATCH($R208,ISIN!$C:$C,0))),)</f>
        <v/>
      </c>
      <c r="R208" s="36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5" t="str">
        <f t="shared" si="1"/>
        <v/>
      </c>
      <c r="T208" s="37" t="str">
        <f t="shared" si="2"/>
        <v/>
      </c>
      <c r="U208" s="38" t="str">
        <f t="shared" si="3"/>
        <v/>
      </c>
      <c r="V208" s="32" t="str">
        <f t="shared" si="4"/>
        <v/>
      </c>
      <c r="W208" s="39" t="str">
        <f>IFERROR(__xludf.DUMMYFUNCTION(" IF(Account!$F208&lt;&gt;"""", SPLIT(Account!$F208, "" ""), """")"),"")</f>
        <v/>
      </c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</row>
    <row r="209">
      <c r="A209" s="12"/>
      <c r="B209" s="12"/>
      <c r="C209" s="12"/>
      <c r="D209" s="12"/>
      <c r="E209" s="12"/>
      <c r="F209" s="13"/>
      <c r="G209" s="12"/>
      <c r="H209" s="12"/>
      <c r="I209" s="12"/>
      <c r="J209" s="12"/>
      <c r="K209" s="12"/>
      <c r="L209" s="13"/>
      <c r="M209" s="30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2" t="str">
        <f>IFERROR(__xludf.DUMMYFUNCTION("IF(Account!$F209&lt;&gt;"""", VALUE(REGEXREPLACE($I209, ""\,"", ""."")), """")"),"")</f>
        <v/>
      </c>
      <c r="O209" s="33" t="str">
        <f>IF(Account!$F209&lt;&gt;"", DATEVALUE(MID($A209,4,3) &amp; LEFT($A209,3) &amp; RIGHT($A209,4)) + TIMEVALUE($B209), "")</f>
        <v/>
      </c>
      <c r="P209" s="34" t="str">
        <f>IF(Account!$F209&lt;&gt;"", DATEVALUE(MID($C209,4,3) &amp; LEFT($C209,3) &amp; RIGHT($C209,4)), "")</f>
        <v/>
      </c>
      <c r="Q209" s="35" t="str">
        <f t="array" ref="Q209">IF($R209&lt;&gt;"",IFERROR(INDEX(ISIN!$B:$B,MATCH($R209,ISIN!$C:$C,0))),)</f>
        <v/>
      </c>
      <c r="R209" s="36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5" t="str">
        <f t="shared" si="1"/>
        <v/>
      </c>
      <c r="T209" s="37" t="str">
        <f t="shared" si="2"/>
        <v/>
      </c>
      <c r="U209" s="38" t="str">
        <f t="shared" si="3"/>
        <v/>
      </c>
      <c r="V209" s="32" t="str">
        <f t="shared" si="4"/>
        <v/>
      </c>
      <c r="W209" s="39" t="str">
        <f>IFERROR(__xludf.DUMMYFUNCTION(" IF(Account!$F209&lt;&gt;"""", SPLIT(Account!$F209, "" ""), """")"),"")</f>
        <v/>
      </c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</row>
    <row r="210">
      <c r="A210" s="12"/>
      <c r="B210" s="12"/>
      <c r="C210" s="12"/>
      <c r="D210" s="12"/>
      <c r="E210" s="12"/>
      <c r="F210" s="13"/>
      <c r="G210" s="12"/>
      <c r="H210" s="12"/>
      <c r="I210" s="12"/>
      <c r="J210" s="12"/>
      <c r="K210" s="12"/>
      <c r="L210" s="13"/>
      <c r="M210" s="30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2" t="str">
        <f>IFERROR(__xludf.DUMMYFUNCTION("IF(Account!$F210&lt;&gt;"""", VALUE(REGEXREPLACE($I210, ""\,"", ""."")), """")"),"")</f>
        <v/>
      </c>
      <c r="O210" s="33" t="str">
        <f>IF(Account!$F210&lt;&gt;"", DATEVALUE(MID($A210,4,3) &amp; LEFT($A210,3) &amp; RIGHT($A210,4)) + TIMEVALUE($B210), "")</f>
        <v/>
      </c>
      <c r="P210" s="34" t="str">
        <f>IF(Account!$F210&lt;&gt;"", DATEVALUE(MID($C210,4,3) &amp; LEFT($C210,3) &amp; RIGHT($C210,4)), "")</f>
        <v/>
      </c>
      <c r="Q210" s="35" t="str">
        <f t="array" ref="Q210">IF($R210&lt;&gt;"",IFERROR(INDEX(ISIN!$B:$B,MATCH($R210,ISIN!$C:$C,0))),)</f>
        <v/>
      </c>
      <c r="R210" s="36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5" t="str">
        <f t="shared" si="1"/>
        <v/>
      </c>
      <c r="T210" s="37" t="str">
        <f t="shared" si="2"/>
        <v/>
      </c>
      <c r="U210" s="38" t="str">
        <f t="shared" si="3"/>
        <v/>
      </c>
      <c r="V210" s="32" t="str">
        <f t="shared" si="4"/>
        <v/>
      </c>
      <c r="W210" s="39" t="str">
        <f>IFERROR(__xludf.DUMMYFUNCTION(" IF(Account!$F210&lt;&gt;"""", SPLIT(Account!$F210, "" ""), """")"),"")</f>
        <v/>
      </c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</row>
    <row r="211">
      <c r="A211" s="12"/>
      <c r="B211" s="12"/>
      <c r="C211" s="12"/>
      <c r="D211" s="12"/>
      <c r="E211" s="12"/>
      <c r="F211" s="13"/>
      <c r="G211" s="12"/>
      <c r="H211" s="12"/>
      <c r="I211" s="12"/>
      <c r="J211" s="12"/>
      <c r="K211" s="12"/>
      <c r="L211" s="13"/>
      <c r="M211" s="30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2" t="str">
        <f>IFERROR(__xludf.DUMMYFUNCTION("IF(Account!$F211&lt;&gt;"""", VALUE(REGEXREPLACE($I211, ""\,"", ""."")), """")"),"")</f>
        <v/>
      </c>
      <c r="O211" s="33" t="str">
        <f>IF(Account!$F211&lt;&gt;"", DATEVALUE(MID($A211,4,3) &amp; LEFT($A211,3) &amp; RIGHT($A211,4)) + TIMEVALUE($B211), "")</f>
        <v/>
      </c>
      <c r="P211" s="34" t="str">
        <f>IF(Account!$F211&lt;&gt;"", DATEVALUE(MID($C211,4,3) &amp; LEFT($C211,3) &amp; RIGHT($C211,4)), "")</f>
        <v/>
      </c>
      <c r="Q211" s="35" t="str">
        <f t="array" ref="Q211">IF($R211&lt;&gt;"",IFERROR(INDEX(ISIN!$B:$B,MATCH($R211,ISIN!$C:$C,0))),)</f>
        <v/>
      </c>
      <c r="R211" s="36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5" t="str">
        <f t="shared" si="1"/>
        <v/>
      </c>
      <c r="T211" s="37" t="str">
        <f t="shared" si="2"/>
        <v/>
      </c>
      <c r="U211" s="38" t="str">
        <f t="shared" si="3"/>
        <v/>
      </c>
      <c r="V211" s="32" t="str">
        <f t="shared" si="4"/>
        <v/>
      </c>
      <c r="W211" s="39" t="str">
        <f>IFERROR(__xludf.DUMMYFUNCTION(" IF(Account!$F211&lt;&gt;"""", SPLIT(Account!$F211, "" ""), """")"),"")</f>
        <v/>
      </c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</row>
    <row r="212">
      <c r="A212" s="12"/>
      <c r="B212" s="12"/>
      <c r="C212" s="12"/>
      <c r="D212" s="12"/>
      <c r="E212" s="12"/>
      <c r="F212" s="13"/>
      <c r="G212" s="12"/>
      <c r="H212" s="12"/>
      <c r="I212" s="12"/>
      <c r="J212" s="12"/>
      <c r="K212" s="12"/>
      <c r="L212" s="13"/>
      <c r="M212" s="30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2" t="str">
        <f>IFERROR(__xludf.DUMMYFUNCTION("IF(Account!$F212&lt;&gt;"""", VALUE(REGEXREPLACE($I212, ""\,"", ""."")), """")"),"")</f>
        <v/>
      </c>
      <c r="O212" s="33" t="str">
        <f>IF(Account!$F212&lt;&gt;"", DATEVALUE(MID($A212,4,3) &amp; LEFT($A212,3) &amp; RIGHT($A212,4)) + TIMEVALUE($B212), "")</f>
        <v/>
      </c>
      <c r="P212" s="34" t="str">
        <f>IF(Account!$F212&lt;&gt;"", DATEVALUE(MID($C212,4,3) &amp; LEFT($C212,3) &amp; RIGHT($C212,4)), "")</f>
        <v/>
      </c>
      <c r="Q212" s="35" t="str">
        <f t="array" ref="Q212">IF($R212&lt;&gt;"",IFERROR(INDEX(ISIN!$B:$B,MATCH($R212,ISIN!$C:$C,0))),)</f>
        <v/>
      </c>
      <c r="R212" s="36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5" t="str">
        <f t="shared" si="1"/>
        <v/>
      </c>
      <c r="T212" s="37" t="str">
        <f t="shared" si="2"/>
        <v/>
      </c>
      <c r="U212" s="38" t="str">
        <f t="shared" si="3"/>
        <v/>
      </c>
      <c r="V212" s="32" t="str">
        <f t="shared" si="4"/>
        <v/>
      </c>
      <c r="W212" s="39" t="str">
        <f>IFERROR(__xludf.DUMMYFUNCTION(" IF(Account!$F212&lt;&gt;"""", SPLIT(Account!$F212, "" ""), """")"),"")</f>
        <v/>
      </c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</row>
    <row r="213">
      <c r="A213" s="12"/>
      <c r="B213" s="12"/>
      <c r="C213" s="12"/>
      <c r="D213" s="12"/>
      <c r="E213" s="12"/>
      <c r="F213" s="13"/>
      <c r="G213" s="291"/>
      <c r="H213" s="12"/>
      <c r="I213" s="12"/>
      <c r="J213" s="12"/>
      <c r="K213" s="12"/>
      <c r="L213" s="13"/>
      <c r="M213" s="30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2" t="str">
        <f>IFERROR(__xludf.DUMMYFUNCTION("IF(Account!$F213&lt;&gt;"""", VALUE(REGEXREPLACE($I213, ""\,"", ""."")), """")"),"")</f>
        <v/>
      </c>
      <c r="O213" s="33" t="str">
        <f>IF(Account!$F213&lt;&gt;"", DATEVALUE(MID($A213,4,3) &amp; LEFT($A213,3) &amp; RIGHT($A213,4)) + TIMEVALUE($B213), "")</f>
        <v/>
      </c>
      <c r="P213" s="34" t="str">
        <f>IF(Account!$F213&lt;&gt;"", DATEVALUE(MID($C213,4,3) &amp; LEFT($C213,3) &amp; RIGHT($C213,4)), "")</f>
        <v/>
      </c>
      <c r="Q213" s="35" t="str">
        <f t="array" ref="Q213">IF($R213&lt;&gt;"",IFERROR(INDEX(ISIN!$B:$B,MATCH($R213,ISIN!$C:$C,0))),)</f>
        <v/>
      </c>
      <c r="R213" s="36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5" t="str">
        <f t="shared" si="1"/>
        <v/>
      </c>
      <c r="T213" s="37" t="str">
        <f t="shared" si="2"/>
        <v/>
      </c>
      <c r="U213" s="38" t="str">
        <f t="shared" si="3"/>
        <v/>
      </c>
      <c r="V213" s="32" t="str">
        <f t="shared" si="4"/>
        <v/>
      </c>
      <c r="W213" s="39" t="str">
        <f>IFERROR(__xludf.DUMMYFUNCTION(" IF(Account!$F213&lt;&gt;"""", SPLIT(Account!$F213, "" ""), """")"),"")</f>
        <v/>
      </c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</row>
    <row r="214">
      <c r="A214" s="12"/>
      <c r="B214" s="12"/>
      <c r="C214" s="12"/>
      <c r="D214" s="12"/>
      <c r="E214" s="12"/>
      <c r="F214" s="13"/>
      <c r="G214" s="12"/>
      <c r="H214" s="12"/>
      <c r="I214" s="12"/>
      <c r="J214" s="12"/>
      <c r="K214" s="12"/>
      <c r="L214" s="13"/>
      <c r="M214" s="30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2" t="str">
        <f>IFERROR(__xludf.DUMMYFUNCTION("IF(Account!$F214&lt;&gt;"""", VALUE(REGEXREPLACE($I214, ""\,"", ""."")), """")"),"")</f>
        <v/>
      </c>
      <c r="O214" s="33" t="str">
        <f>IF(Account!$F214&lt;&gt;"", DATEVALUE(MID($A214,4,3) &amp; LEFT($A214,3) &amp; RIGHT($A214,4)) + TIMEVALUE($B214), "")</f>
        <v/>
      </c>
      <c r="P214" s="34" t="str">
        <f>IF(Account!$F214&lt;&gt;"", DATEVALUE(MID($C214,4,3) &amp; LEFT($C214,3) &amp; RIGHT($C214,4)), "")</f>
        <v/>
      </c>
      <c r="Q214" s="35" t="str">
        <f t="array" ref="Q214">IF($R214&lt;&gt;"",IFERROR(INDEX(ISIN!$B:$B,MATCH($R214,ISIN!$C:$C,0))),)</f>
        <v/>
      </c>
      <c r="R214" s="36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5" t="str">
        <f t="shared" si="1"/>
        <v/>
      </c>
      <c r="T214" s="37" t="str">
        <f t="shared" si="2"/>
        <v/>
      </c>
      <c r="U214" s="38" t="str">
        <f t="shared" si="3"/>
        <v/>
      </c>
      <c r="V214" s="32" t="str">
        <f t="shared" si="4"/>
        <v/>
      </c>
      <c r="W214" s="39" t="str">
        <f>IFERROR(__xludf.DUMMYFUNCTION(" IF(Account!$F214&lt;&gt;"""", SPLIT(Account!$F214, "" ""), """")"),"")</f>
        <v/>
      </c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</row>
    <row r="215">
      <c r="A215" s="12"/>
      <c r="B215" s="12"/>
      <c r="C215" s="12"/>
      <c r="D215" s="12"/>
      <c r="E215" s="12"/>
      <c r="F215" s="13"/>
      <c r="G215" s="291"/>
      <c r="H215" s="12"/>
      <c r="I215" s="12"/>
      <c r="J215" s="12"/>
      <c r="K215" s="12"/>
      <c r="L215" s="13"/>
      <c r="M215" s="30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2" t="str">
        <f>IFERROR(__xludf.DUMMYFUNCTION("IF(Account!$F215&lt;&gt;"""", VALUE(REGEXREPLACE($I215, ""\,"", ""."")), """")"),"")</f>
        <v/>
      </c>
      <c r="O215" s="33" t="str">
        <f>IF(Account!$F215&lt;&gt;"", DATEVALUE(MID($A215,4,3) &amp; LEFT($A215,3) &amp; RIGHT($A215,4)) + TIMEVALUE($B215), "")</f>
        <v/>
      </c>
      <c r="P215" s="34" t="str">
        <f>IF(Account!$F215&lt;&gt;"", DATEVALUE(MID($C215,4,3) &amp; LEFT($C215,3) &amp; RIGHT($C215,4)), "")</f>
        <v/>
      </c>
      <c r="Q215" s="35" t="str">
        <f t="array" ref="Q215">IF($R215&lt;&gt;"",IFERROR(INDEX(ISIN!$B:$B,MATCH($R215,ISIN!$C:$C,0))),)</f>
        <v/>
      </c>
      <c r="R215" s="36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5" t="str">
        <f t="shared" si="1"/>
        <v/>
      </c>
      <c r="T215" s="37" t="str">
        <f t="shared" si="2"/>
        <v/>
      </c>
      <c r="U215" s="38" t="str">
        <f t="shared" si="3"/>
        <v/>
      </c>
      <c r="V215" s="32" t="str">
        <f t="shared" si="4"/>
        <v/>
      </c>
      <c r="W215" s="39" t="str">
        <f>IFERROR(__xludf.DUMMYFUNCTION(" IF(Account!$F215&lt;&gt;"""", SPLIT(Account!$F215, "" ""), """")"),"")</f>
        <v/>
      </c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</row>
    <row r="216">
      <c r="A216" s="12"/>
      <c r="B216" s="12"/>
      <c r="C216" s="12"/>
      <c r="D216" s="12"/>
      <c r="E216" s="12"/>
      <c r="F216" s="13"/>
      <c r="G216" s="12"/>
      <c r="H216" s="12"/>
      <c r="I216" s="12"/>
      <c r="J216" s="12"/>
      <c r="K216" s="12"/>
      <c r="L216" s="13"/>
      <c r="M216" s="30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2" t="str">
        <f>IFERROR(__xludf.DUMMYFUNCTION("IF(Account!$F216&lt;&gt;"""", VALUE(REGEXREPLACE($I216, ""\,"", ""."")), """")"),"")</f>
        <v/>
      </c>
      <c r="O216" s="33" t="str">
        <f>IF(Account!$F216&lt;&gt;"", DATEVALUE(MID($A216,4,3) &amp; LEFT($A216,3) &amp; RIGHT($A216,4)) + TIMEVALUE($B216), "")</f>
        <v/>
      </c>
      <c r="P216" s="34" t="str">
        <f>IF(Account!$F216&lt;&gt;"", DATEVALUE(MID($C216,4,3) &amp; LEFT($C216,3) &amp; RIGHT($C216,4)), "")</f>
        <v/>
      </c>
      <c r="Q216" s="35" t="str">
        <f t="array" ref="Q216">IF($R216&lt;&gt;"",IFERROR(INDEX(ISIN!$B:$B,MATCH($R216,ISIN!$C:$C,0))),)</f>
        <v/>
      </c>
      <c r="R216" s="36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5" t="str">
        <f t="shared" si="1"/>
        <v/>
      </c>
      <c r="T216" s="37" t="str">
        <f t="shared" si="2"/>
        <v/>
      </c>
      <c r="U216" s="38" t="str">
        <f t="shared" si="3"/>
        <v/>
      </c>
      <c r="V216" s="32" t="str">
        <f t="shared" si="4"/>
        <v/>
      </c>
      <c r="W216" s="39" t="str">
        <f>IFERROR(__xludf.DUMMYFUNCTION(" IF(Account!$F216&lt;&gt;"""", SPLIT(Account!$F216, "" ""), """")"),"")</f>
        <v/>
      </c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</row>
    <row r="217">
      <c r="A217" s="12"/>
      <c r="B217" s="12"/>
      <c r="C217" s="12"/>
      <c r="D217" s="12"/>
      <c r="E217" s="12"/>
      <c r="F217" s="13"/>
      <c r="G217" s="291"/>
      <c r="H217" s="12"/>
      <c r="I217" s="12"/>
      <c r="J217" s="12"/>
      <c r="K217" s="12"/>
      <c r="L217" s="13"/>
      <c r="M217" s="30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2" t="str">
        <f>IFERROR(__xludf.DUMMYFUNCTION("IF(Account!$F217&lt;&gt;"""", VALUE(REGEXREPLACE($I217, ""\,"", ""."")), """")"),"")</f>
        <v/>
      </c>
      <c r="O217" s="33" t="str">
        <f>IF(Account!$F217&lt;&gt;"", DATEVALUE(MID($A217,4,3) &amp; LEFT($A217,3) &amp; RIGHT($A217,4)) + TIMEVALUE($B217), "")</f>
        <v/>
      </c>
      <c r="P217" s="34" t="str">
        <f>IF(Account!$F217&lt;&gt;"", DATEVALUE(MID($C217,4,3) &amp; LEFT($C217,3) &amp; RIGHT($C217,4)), "")</f>
        <v/>
      </c>
      <c r="Q217" s="35" t="str">
        <f t="array" ref="Q217">IF($R217&lt;&gt;"",IFERROR(INDEX(ISIN!$B:$B,MATCH($R217,ISIN!$C:$C,0))),)</f>
        <v/>
      </c>
      <c r="R217" s="36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5" t="str">
        <f t="shared" si="1"/>
        <v/>
      </c>
      <c r="T217" s="37" t="str">
        <f t="shared" si="2"/>
        <v/>
      </c>
      <c r="U217" s="38" t="str">
        <f t="shared" si="3"/>
        <v/>
      </c>
      <c r="V217" s="32" t="str">
        <f t="shared" si="4"/>
        <v/>
      </c>
      <c r="W217" s="39" t="str">
        <f>IFERROR(__xludf.DUMMYFUNCTION(" IF(Account!$F217&lt;&gt;"""", SPLIT(Account!$F217, "" ""), """")"),"")</f>
        <v/>
      </c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</row>
    <row r="218">
      <c r="A218" s="12"/>
      <c r="B218" s="12"/>
      <c r="C218" s="12"/>
      <c r="D218" s="12"/>
      <c r="E218" s="12"/>
      <c r="F218" s="13"/>
      <c r="G218" s="12"/>
      <c r="H218" s="12"/>
      <c r="I218" s="12"/>
      <c r="J218" s="12"/>
      <c r="K218" s="12"/>
      <c r="L218" s="13"/>
      <c r="M218" s="30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2" t="str">
        <f>IFERROR(__xludf.DUMMYFUNCTION("IF(Account!$F218&lt;&gt;"""", VALUE(REGEXREPLACE($I218, ""\,"", ""."")), """")"),"")</f>
        <v/>
      </c>
      <c r="O218" s="33" t="str">
        <f>IF(Account!$F218&lt;&gt;"", DATEVALUE(MID($A218,4,3) &amp; LEFT($A218,3) &amp; RIGHT($A218,4)) + TIMEVALUE($B218), "")</f>
        <v/>
      </c>
      <c r="P218" s="34" t="str">
        <f>IF(Account!$F218&lt;&gt;"", DATEVALUE(MID($C218,4,3) &amp; LEFT($C218,3) &amp; RIGHT($C218,4)), "")</f>
        <v/>
      </c>
      <c r="Q218" s="35" t="str">
        <f t="array" ref="Q218">IF($R218&lt;&gt;"",IFERROR(INDEX(ISIN!$B:$B,MATCH($R218,ISIN!$C:$C,0))),)</f>
        <v/>
      </c>
      <c r="R218" s="36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5" t="str">
        <f t="shared" si="1"/>
        <v/>
      </c>
      <c r="T218" s="37" t="str">
        <f t="shared" si="2"/>
        <v/>
      </c>
      <c r="U218" s="38" t="str">
        <f t="shared" si="3"/>
        <v/>
      </c>
      <c r="V218" s="32" t="str">
        <f t="shared" si="4"/>
        <v/>
      </c>
      <c r="W218" s="39" t="str">
        <f>IFERROR(__xludf.DUMMYFUNCTION(" IF(Account!$F218&lt;&gt;"""", SPLIT(Account!$F218, "" ""), """")"),"")</f>
        <v/>
      </c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</row>
    <row r="219">
      <c r="A219" s="12"/>
      <c r="B219" s="12"/>
      <c r="C219" s="12"/>
      <c r="D219" s="12"/>
      <c r="E219" s="12"/>
      <c r="F219" s="13"/>
      <c r="G219" s="291"/>
      <c r="H219" s="12"/>
      <c r="I219" s="12"/>
      <c r="J219" s="12"/>
      <c r="K219" s="12"/>
      <c r="L219" s="13"/>
      <c r="M219" s="30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2" t="str">
        <f>IFERROR(__xludf.DUMMYFUNCTION("IF(Account!$F219&lt;&gt;"""", VALUE(REGEXREPLACE($I219, ""\,"", ""."")), """")"),"")</f>
        <v/>
      </c>
      <c r="O219" s="33" t="str">
        <f>IF(Account!$F219&lt;&gt;"", DATEVALUE(MID($A219,4,3) &amp; LEFT($A219,3) &amp; RIGHT($A219,4)) + TIMEVALUE($B219), "")</f>
        <v/>
      </c>
      <c r="P219" s="34" t="str">
        <f>IF(Account!$F219&lt;&gt;"", DATEVALUE(MID($C219,4,3) &amp; LEFT($C219,3) &amp; RIGHT($C219,4)), "")</f>
        <v/>
      </c>
      <c r="Q219" s="35" t="str">
        <f t="array" ref="Q219">IF($R219&lt;&gt;"",IFERROR(INDEX(ISIN!$B:$B,MATCH($R219,ISIN!$C:$C,0))),)</f>
        <v/>
      </c>
      <c r="R219" s="36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5" t="str">
        <f t="shared" si="1"/>
        <v/>
      </c>
      <c r="T219" s="37" t="str">
        <f t="shared" si="2"/>
        <v/>
      </c>
      <c r="U219" s="38" t="str">
        <f t="shared" si="3"/>
        <v/>
      </c>
      <c r="V219" s="32" t="str">
        <f t="shared" si="4"/>
        <v/>
      </c>
      <c r="W219" s="39" t="str">
        <f>IFERROR(__xludf.DUMMYFUNCTION(" IF(Account!$F219&lt;&gt;"""", SPLIT(Account!$F219, "" ""), """")"),"")</f>
        <v/>
      </c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</row>
    <row r="220">
      <c r="A220" s="12"/>
      <c r="B220" s="12"/>
      <c r="C220" s="12"/>
      <c r="D220" s="12"/>
      <c r="E220" s="12"/>
      <c r="F220" s="13"/>
      <c r="G220" s="12"/>
      <c r="H220" s="12"/>
      <c r="I220" s="12"/>
      <c r="J220" s="12"/>
      <c r="K220" s="12"/>
      <c r="L220" s="13"/>
      <c r="M220" s="30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2" t="str">
        <f>IFERROR(__xludf.DUMMYFUNCTION("IF(Account!$F220&lt;&gt;"""", VALUE(REGEXREPLACE($I220, ""\,"", ""."")), """")"),"")</f>
        <v/>
      </c>
      <c r="O220" s="33" t="str">
        <f>IF(Account!$F220&lt;&gt;"", DATEVALUE(MID($A220,4,3) &amp; LEFT($A220,3) &amp; RIGHT($A220,4)) + TIMEVALUE($B220), "")</f>
        <v/>
      </c>
      <c r="P220" s="34" t="str">
        <f>IF(Account!$F220&lt;&gt;"", DATEVALUE(MID($C220,4,3) &amp; LEFT($C220,3) &amp; RIGHT($C220,4)), "")</f>
        <v/>
      </c>
      <c r="Q220" s="35" t="str">
        <f t="array" ref="Q220">IF($R220&lt;&gt;"",IFERROR(INDEX(ISIN!$B:$B,MATCH($R220,ISIN!$C:$C,0))),)</f>
        <v/>
      </c>
      <c r="R220" s="36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5" t="str">
        <f t="shared" si="1"/>
        <v/>
      </c>
      <c r="T220" s="37" t="str">
        <f t="shared" si="2"/>
        <v/>
      </c>
      <c r="U220" s="38" t="str">
        <f t="shared" si="3"/>
        <v/>
      </c>
      <c r="V220" s="32" t="str">
        <f t="shared" si="4"/>
        <v/>
      </c>
      <c r="W220" s="39" t="str">
        <f>IFERROR(__xludf.DUMMYFUNCTION(" IF(Account!$F220&lt;&gt;"""", SPLIT(Account!$F220, "" ""), """")"),"")</f>
        <v/>
      </c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</row>
    <row r="221">
      <c r="A221" s="12"/>
      <c r="B221" s="12"/>
      <c r="C221" s="12"/>
      <c r="D221" s="12"/>
      <c r="E221" s="12"/>
      <c r="F221" s="13"/>
      <c r="G221" s="12"/>
      <c r="H221" s="12"/>
      <c r="I221" s="12"/>
      <c r="J221" s="12"/>
      <c r="K221" s="12"/>
      <c r="L221" s="13"/>
      <c r="M221" s="30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2" t="str">
        <f>IFERROR(__xludf.DUMMYFUNCTION("IF(Account!$F221&lt;&gt;"""", VALUE(REGEXREPLACE($I221, ""\,"", ""."")), """")"),"")</f>
        <v/>
      </c>
      <c r="O221" s="33" t="str">
        <f>IF(Account!$F221&lt;&gt;"", DATEVALUE(MID($A221,4,3) &amp; LEFT($A221,3) &amp; RIGHT($A221,4)) + TIMEVALUE($B221), "")</f>
        <v/>
      </c>
      <c r="P221" s="34" t="str">
        <f>IF(Account!$F221&lt;&gt;"", DATEVALUE(MID($C221,4,3) &amp; LEFT($C221,3) &amp; RIGHT($C221,4)), "")</f>
        <v/>
      </c>
      <c r="Q221" s="35" t="str">
        <f t="array" ref="Q221">IF($R221&lt;&gt;"",IFERROR(INDEX(ISIN!$B:$B,MATCH($R221,ISIN!$C:$C,0))),)</f>
        <v/>
      </c>
      <c r="R221" s="36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5" t="str">
        <f t="shared" si="1"/>
        <v/>
      </c>
      <c r="T221" s="37" t="str">
        <f t="shared" si="2"/>
        <v/>
      </c>
      <c r="U221" s="38" t="str">
        <f t="shared" si="3"/>
        <v/>
      </c>
      <c r="V221" s="32" t="str">
        <f t="shared" si="4"/>
        <v/>
      </c>
      <c r="W221" s="39" t="str">
        <f>IFERROR(__xludf.DUMMYFUNCTION(" IF(Account!$F221&lt;&gt;"""", SPLIT(Account!$F221, "" ""), """")"),"")</f>
        <v/>
      </c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</row>
    <row r="222">
      <c r="A222" s="12"/>
      <c r="B222" s="12"/>
      <c r="C222" s="12"/>
      <c r="D222" s="12"/>
      <c r="E222" s="12"/>
      <c r="F222" s="13"/>
      <c r="G222" s="12"/>
      <c r="H222" s="12"/>
      <c r="I222" s="12"/>
      <c r="J222" s="12"/>
      <c r="K222" s="12"/>
      <c r="L222" s="13"/>
      <c r="M222" s="30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2" t="str">
        <f>IFERROR(__xludf.DUMMYFUNCTION("IF(Account!$F222&lt;&gt;"""", VALUE(REGEXREPLACE($I222, ""\,"", ""."")), """")"),"")</f>
        <v/>
      </c>
      <c r="O222" s="33" t="str">
        <f>IF(Account!$F222&lt;&gt;"", DATEVALUE(MID($A222,4,3) &amp; LEFT($A222,3) &amp; RIGHT($A222,4)) + TIMEVALUE($B222), "")</f>
        <v/>
      </c>
      <c r="P222" s="34" t="str">
        <f>IF(Account!$F222&lt;&gt;"", DATEVALUE(MID($C222,4,3) &amp; LEFT($C222,3) &amp; RIGHT($C222,4)), "")</f>
        <v/>
      </c>
      <c r="Q222" s="35" t="str">
        <f t="array" ref="Q222">IF($R222&lt;&gt;"",IFERROR(INDEX(ISIN!$B:$B,MATCH($R222,ISIN!$C:$C,0))),)</f>
        <v/>
      </c>
      <c r="R222" s="36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5" t="str">
        <f t="shared" si="1"/>
        <v/>
      </c>
      <c r="T222" s="37" t="str">
        <f t="shared" si="2"/>
        <v/>
      </c>
      <c r="U222" s="38" t="str">
        <f t="shared" si="3"/>
        <v/>
      </c>
      <c r="V222" s="32" t="str">
        <f t="shared" si="4"/>
        <v/>
      </c>
      <c r="W222" s="39" t="str">
        <f>IFERROR(__xludf.DUMMYFUNCTION(" IF(Account!$F222&lt;&gt;"""", SPLIT(Account!$F222, "" ""), """")"),"")</f>
        <v/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</row>
    <row r="223">
      <c r="A223" s="12"/>
      <c r="B223" s="12"/>
      <c r="C223" s="12"/>
      <c r="D223" s="12"/>
      <c r="E223" s="12"/>
      <c r="F223" s="13"/>
      <c r="G223" s="291"/>
      <c r="H223" s="12"/>
      <c r="I223" s="12"/>
      <c r="J223" s="12"/>
      <c r="K223" s="12"/>
      <c r="L223" s="13"/>
      <c r="M223" s="30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2" t="str">
        <f>IFERROR(__xludf.DUMMYFUNCTION("IF(Account!$F223&lt;&gt;"""", VALUE(REGEXREPLACE($I223, ""\,"", ""."")), """")"),"")</f>
        <v/>
      </c>
      <c r="O223" s="33" t="str">
        <f>IF(Account!$F223&lt;&gt;"", DATEVALUE(MID($A223,4,3) &amp; LEFT($A223,3) &amp; RIGHT($A223,4)) + TIMEVALUE($B223), "")</f>
        <v/>
      </c>
      <c r="P223" s="34" t="str">
        <f>IF(Account!$F223&lt;&gt;"", DATEVALUE(MID($C223,4,3) &amp; LEFT($C223,3) &amp; RIGHT($C223,4)), "")</f>
        <v/>
      </c>
      <c r="Q223" s="35" t="str">
        <f t="array" ref="Q223">IF($R223&lt;&gt;"",IFERROR(INDEX(ISIN!$B:$B,MATCH($R223,ISIN!$C:$C,0))),)</f>
        <v/>
      </c>
      <c r="R223" s="36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5" t="str">
        <f t="shared" si="1"/>
        <v/>
      </c>
      <c r="T223" s="37" t="str">
        <f t="shared" si="2"/>
        <v/>
      </c>
      <c r="U223" s="38" t="str">
        <f t="shared" si="3"/>
        <v/>
      </c>
      <c r="V223" s="32" t="str">
        <f t="shared" si="4"/>
        <v/>
      </c>
      <c r="W223" s="39" t="str">
        <f>IFERROR(__xludf.DUMMYFUNCTION(" IF(Account!$F223&lt;&gt;"""", SPLIT(Account!$F223, "" ""), """")"),"")</f>
        <v/>
      </c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</row>
    <row r="224">
      <c r="A224" s="12"/>
      <c r="B224" s="12"/>
      <c r="C224" s="12"/>
      <c r="D224" s="12"/>
      <c r="E224" s="12"/>
      <c r="F224" s="13"/>
      <c r="G224" s="12"/>
      <c r="H224" s="12"/>
      <c r="I224" s="12"/>
      <c r="J224" s="12"/>
      <c r="K224" s="12"/>
      <c r="L224" s="13"/>
      <c r="M224" s="30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2" t="str">
        <f>IFERROR(__xludf.DUMMYFUNCTION("IF(Account!$F224&lt;&gt;"""", VALUE(REGEXREPLACE($I224, ""\,"", ""."")), """")"),"")</f>
        <v/>
      </c>
      <c r="O224" s="33" t="str">
        <f>IF(Account!$F224&lt;&gt;"", DATEVALUE(MID($A224,4,3) &amp; LEFT($A224,3) &amp; RIGHT($A224,4)) + TIMEVALUE($B224), "")</f>
        <v/>
      </c>
      <c r="P224" s="34" t="str">
        <f>IF(Account!$F224&lt;&gt;"", DATEVALUE(MID($C224,4,3) &amp; LEFT($C224,3) &amp; RIGHT($C224,4)), "")</f>
        <v/>
      </c>
      <c r="Q224" s="35" t="str">
        <f t="array" ref="Q224">IF($R224&lt;&gt;"",IFERROR(INDEX(ISIN!$B:$B,MATCH($R224,ISIN!$C:$C,0))),)</f>
        <v/>
      </c>
      <c r="R224" s="36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5" t="str">
        <f t="shared" si="1"/>
        <v/>
      </c>
      <c r="T224" s="37" t="str">
        <f t="shared" si="2"/>
        <v/>
      </c>
      <c r="U224" s="38" t="str">
        <f t="shared" si="3"/>
        <v/>
      </c>
      <c r="V224" s="32" t="str">
        <f t="shared" si="4"/>
        <v/>
      </c>
      <c r="W224" s="39" t="str">
        <f>IFERROR(__xludf.DUMMYFUNCTION(" IF(Account!$F224&lt;&gt;"""", SPLIT(Account!$F224, "" ""), """")"),"")</f>
        <v/>
      </c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</row>
    <row r="225">
      <c r="A225" s="12"/>
      <c r="B225" s="12"/>
      <c r="C225" s="12"/>
      <c r="D225" s="12"/>
      <c r="E225" s="12"/>
      <c r="F225" s="13"/>
      <c r="G225" s="12"/>
      <c r="H225" s="12"/>
      <c r="I225" s="12"/>
      <c r="J225" s="12"/>
      <c r="K225" s="12"/>
      <c r="L225" s="13"/>
      <c r="M225" s="30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2" t="str">
        <f>IFERROR(__xludf.DUMMYFUNCTION("IF(Account!$F225&lt;&gt;"""", VALUE(REGEXREPLACE($I225, ""\,"", ""."")), """")"),"")</f>
        <v/>
      </c>
      <c r="O225" s="33" t="str">
        <f>IF(Account!$F225&lt;&gt;"", DATEVALUE(MID($A225,4,3) &amp; LEFT($A225,3) &amp; RIGHT($A225,4)) + TIMEVALUE($B225), "")</f>
        <v/>
      </c>
      <c r="P225" s="34" t="str">
        <f>IF(Account!$F225&lt;&gt;"", DATEVALUE(MID($C225,4,3) &amp; LEFT($C225,3) &amp; RIGHT($C225,4)), "")</f>
        <v/>
      </c>
      <c r="Q225" s="35" t="str">
        <f t="array" ref="Q225">IF($R225&lt;&gt;"",IFERROR(INDEX(ISIN!$B:$B,MATCH($R225,ISIN!$C:$C,0))),)</f>
        <v/>
      </c>
      <c r="R225" s="36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5" t="str">
        <f t="shared" si="1"/>
        <v/>
      </c>
      <c r="T225" s="37" t="str">
        <f t="shared" si="2"/>
        <v/>
      </c>
      <c r="U225" s="38" t="str">
        <f t="shared" si="3"/>
        <v/>
      </c>
      <c r="V225" s="32" t="str">
        <f t="shared" si="4"/>
        <v/>
      </c>
      <c r="W225" s="39" t="str">
        <f>IFERROR(__xludf.DUMMYFUNCTION(" IF(Account!$F225&lt;&gt;"""", SPLIT(Account!$F225, "" ""), """")"),"")</f>
        <v/>
      </c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</row>
    <row r="226">
      <c r="A226" s="12"/>
      <c r="B226" s="12"/>
      <c r="C226" s="12"/>
      <c r="D226" s="12"/>
      <c r="E226" s="12"/>
      <c r="F226" s="13"/>
      <c r="G226" s="12"/>
      <c r="H226" s="12"/>
      <c r="I226" s="12"/>
      <c r="J226" s="12"/>
      <c r="K226" s="12"/>
      <c r="L226" s="13"/>
      <c r="M226" s="30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2" t="str">
        <f>IFERROR(__xludf.DUMMYFUNCTION("IF(Account!$F226&lt;&gt;"""", VALUE(REGEXREPLACE($I226, ""\,"", ""."")), """")"),"")</f>
        <v/>
      </c>
      <c r="O226" s="33" t="str">
        <f>IF(Account!$F226&lt;&gt;"", DATEVALUE(MID($A226,4,3) &amp; LEFT($A226,3) &amp; RIGHT($A226,4)) + TIMEVALUE($B226), "")</f>
        <v/>
      </c>
      <c r="P226" s="34" t="str">
        <f>IF(Account!$F226&lt;&gt;"", DATEVALUE(MID($C226,4,3) &amp; LEFT($C226,3) &amp; RIGHT($C226,4)), "")</f>
        <v/>
      </c>
      <c r="Q226" s="35" t="str">
        <f t="array" ref="Q226">IF($R226&lt;&gt;"",IFERROR(INDEX(ISIN!$B:$B,MATCH($R226,ISIN!$C:$C,0))),)</f>
        <v/>
      </c>
      <c r="R226" s="36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5" t="str">
        <f t="shared" si="1"/>
        <v/>
      </c>
      <c r="T226" s="37" t="str">
        <f t="shared" si="2"/>
        <v/>
      </c>
      <c r="U226" s="38" t="str">
        <f t="shared" si="3"/>
        <v/>
      </c>
      <c r="V226" s="32" t="str">
        <f t="shared" si="4"/>
        <v/>
      </c>
      <c r="W226" s="39" t="str">
        <f>IFERROR(__xludf.DUMMYFUNCTION(" IF(Account!$F226&lt;&gt;"""", SPLIT(Account!$F226, "" ""), """")"),"")</f>
        <v/>
      </c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</row>
    <row r="227">
      <c r="A227" s="12"/>
      <c r="B227" s="12"/>
      <c r="C227" s="12"/>
      <c r="D227" s="12"/>
      <c r="E227" s="12"/>
      <c r="F227" s="13"/>
      <c r="G227" s="12"/>
      <c r="H227" s="12"/>
      <c r="I227" s="12"/>
      <c r="J227" s="12"/>
      <c r="K227" s="12"/>
      <c r="L227" s="13"/>
      <c r="M227" s="30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2" t="str">
        <f>IFERROR(__xludf.DUMMYFUNCTION("IF(Account!$F227&lt;&gt;"""", VALUE(REGEXREPLACE($I227, ""\,"", ""."")), """")"),"")</f>
        <v/>
      </c>
      <c r="O227" s="33" t="str">
        <f>IF(Account!$F227&lt;&gt;"", DATEVALUE(MID($A227,4,3) &amp; LEFT($A227,3) &amp; RIGHT($A227,4)) + TIMEVALUE($B227), "")</f>
        <v/>
      </c>
      <c r="P227" s="34" t="str">
        <f>IF(Account!$F227&lt;&gt;"", DATEVALUE(MID($C227,4,3) &amp; LEFT($C227,3) &amp; RIGHT($C227,4)), "")</f>
        <v/>
      </c>
      <c r="Q227" s="35" t="str">
        <f t="array" ref="Q227">IF($R227&lt;&gt;"",IFERROR(INDEX(ISIN!$B:$B,MATCH($R227,ISIN!$C:$C,0))),)</f>
        <v/>
      </c>
      <c r="R227" s="36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5" t="str">
        <f t="shared" si="1"/>
        <v/>
      </c>
      <c r="T227" s="37" t="str">
        <f t="shared" si="2"/>
        <v/>
      </c>
      <c r="U227" s="38" t="str">
        <f t="shared" si="3"/>
        <v/>
      </c>
      <c r="V227" s="32" t="str">
        <f t="shared" si="4"/>
        <v/>
      </c>
      <c r="W227" s="39" t="str">
        <f>IFERROR(__xludf.DUMMYFUNCTION(" IF(Account!$F227&lt;&gt;"""", SPLIT(Account!$F227, "" ""), """")"),"")</f>
        <v/>
      </c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</row>
    <row r="228">
      <c r="A228" s="12"/>
      <c r="B228" s="12"/>
      <c r="C228" s="12"/>
      <c r="D228" s="12"/>
      <c r="E228" s="12"/>
      <c r="F228" s="13"/>
      <c r="G228" s="12"/>
      <c r="H228" s="12"/>
      <c r="I228" s="12"/>
      <c r="J228" s="12"/>
      <c r="K228" s="12"/>
      <c r="L228" s="13"/>
      <c r="M228" s="30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2" t="str">
        <f>IFERROR(__xludf.DUMMYFUNCTION("IF(Account!$F228&lt;&gt;"""", VALUE(REGEXREPLACE($I228, ""\,"", ""."")), """")"),"")</f>
        <v/>
      </c>
      <c r="O228" s="33" t="str">
        <f>IF(Account!$F228&lt;&gt;"", DATEVALUE(MID($A228,4,3) &amp; LEFT($A228,3) &amp; RIGHT($A228,4)) + TIMEVALUE($B228), "")</f>
        <v/>
      </c>
      <c r="P228" s="34" t="str">
        <f>IF(Account!$F228&lt;&gt;"", DATEVALUE(MID($C228,4,3) &amp; LEFT($C228,3) &amp; RIGHT($C228,4)), "")</f>
        <v/>
      </c>
      <c r="Q228" s="35" t="str">
        <f t="array" ref="Q228">IF($R228&lt;&gt;"",IFERROR(INDEX(ISIN!$B:$B,MATCH($R228,ISIN!$C:$C,0))),)</f>
        <v/>
      </c>
      <c r="R228" s="36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5" t="str">
        <f t="shared" si="1"/>
        <v/>
      </c>
      <c r="T228" s="37" t="str">
        <f t="shared" si="2"/>
        <v/>
      </c>
      <c r="U228" s="38" t="str">
        <f t="shared" si="3"/>
        <v/>
      </c>
      <c r="V228" s="32" t="str">
        <f t="shared" si="4"/>
        <v/>
      </c>
      <c r="W228" s="39" t="str">
        <f>IFERROR(__xludf.DUMMYFUNCTION(" IF(Account!$F228&lt;&gt;"""", SPLIT(Account!$F228, "" ""), """")"),"")</f>
        <v/>
      </c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</row>
    <row r="229">
      <c r="A229" s="12"/>
      <c r="B229" s="12"/>
      <c r="C229" s="12"/>
      <c r="D229" s="12"/>
      <c r="E229" s="12"/>
      <c r="F229" s="13"/>
      <c r="G229" s="12"/>
      <c r="H229" s="12"/>
      <c r="I229" s="12"/>
      <c r="J229" s="12"/>
      <c r="K229" s="12"/>
      <c r="L229" s="13"/>
      <c r="M229" s="30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2" t="str">
        <f>IFERROR(__xludf.DUMMYFUNCTION("IF(Account!$F229&lt;&gt;"""", VALUE(REGEXREPLACE($I229, ""\,"", ""."")), """")"),"")</f>
        <v/>
      </c>
      <c r="O229" s="33" t="str">
        <f>IF(Account!$F229&lt;&gt;"", DATEVALUE(MID($A229,4,3) &amp; LEFT($A229,3) &amp; RIGHT($A229,4)) + TIMEVALUE($B229), "")</f>
        <v/>
      </c>
      <c r="P229" s="34" t="str">
        <f>IF(Account!$F229&lt;&gt;"", DATEVALUE(MID($C229,4,3) &amp; LEFT($C229,3) &amp; RIGHT($C229,4)), "")</f>
        <v/>
      </c>
      <c r="Q229" s="35" t="str">
        <f t="array" ref="Q229">IF($R229&lt;&gt;"",IFERROR(INDEX(ISIN!$B:$B,MATCH($R229,ISIN!$C:$C,0))),)</f>
        <v/>
      </c>
      <c r="R229" s="36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5" t="str">
        <f t="shared" si="1"/>
        <v/>
      </c>
      <c r="T229" s="37" t="str">
        <f t="shared" si="2"/>
        <v/>
      </c>
      <c r="U229" s="38" t="str">
        <f t="shared" si="3"/>
        <v/>
      </c>
      <c r="V229" s="32" t="str">
        <f t="shared" si="4"/>
        <v/>
      </c>
      <c r="W229" s="39" t="str">
        <f>IFERROR(__xludf.DUMMYFUNCTION(" IF(Account!$F229&lt;&gt;"""", SPLIT(Account!$F229, "" ""), """")"),"")</f>
        <v/>
      </c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</row>
    <row r="230">
      <c r="A230" s="12"/>
      <c r="B230" s="12"/>
      <c r="C230" s="12"/>
      <c r="D230" s="12"/>
      <c r="E230" s="12"/>
      <c r="F230" s="13"/>
      <c r="G230" s="12"/>
      <c r="H230" s="12"/>
      <c r="I230" s="12"/>
      <c r="J230" s="12"/>
      <c r="K230" s="12"/>
      <c r="L230" s="13"/>
      <c r="M230" s="30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2" t="str">
        <f>IFERROR(__xludf.DUMMYFUNCTION("IF(Account!$F230&lt;&gt;"""", VALUE(REGEXREPLACE($I230, ""\,"", ""."")), """")"),"")</f>
        <v/>
      </c>
      <c r="O230" s="33" t="str">
        <f>IF(Account!$F230&lt;&gt;"", DATEVALUE(MID($A230,4,3) &amp; LEFT($A230,3) &amp; RIGHT($A230,4)) + TIMEVALUE($B230), "")</f>
        <v/>
      </c>
      <c r="P230" s="34" t="str">
        <f>IF(Account!$F230&lt;&gt;"", DATEVALUE(MID($C230,4,3) &amp; LEFT($C230,3) &amp; RIGHT($C230,4)), "")</f>
        <v/>
      </c>
      <c r="Q230" s="35" t="str">
        <f t="array" ref="Q230">IF($R230&lt;&gt;"",IFERROR(INDEX(ISIN!$B:$B,MATCH($R230,ISIN!$C:$C,0))),)</f>
        <v/>
      </c>
      <c r="R230" s="36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5" t="str">
        <f t="shared" si="1"/>
        <v/>
      </c>
      <c r="T230" s="37" t="str">
        <f t="shared" si="2"/>
        <v/>
      </c>
      <c r="U230" s="38" t="str">
        <f t="shared" si="3"/>
        <v/>
      </c>
      <c r="V230" s="32" t="str">
        <f t="shared" si="4"/>
        <v/>
      </c>
      <c r="W230" s="39" t="str">
        <f>IFERROR(__xludf.DUMMYFUNCTION(" IF(Account!$F230&lt;&gt;"""", SPLIT(Account!$F230, "" ""), """")"),"")</f>
        <v/>
      </c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</row>
    <row r="231">
      <c r="A231" s="12"/>
      <c r="B231" s="12"/>
      <c r="C231" s="12"/>
      <c r="D231" s="12"/>
      <c r="E231" s="12"/>
      <c r="F231" s="13"/>
      <c r="G231" s="12"/>
      <c r="H231" s="12"/>
      <c r="I231" s="12"/>
      <c r="J231" s="12"/>
      <c r="K231" s="12"/>
      <c r="L231" s="13"/>
      <c r="M231" s="30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2" t="str">
        <f>IFERROR(__xludf.DUMMYFUNCTION("IF(Account!$F231&lt;&gt;"""", VALUE(REGEXREPLACE($I231, ""\,"", ""."")), """")"),"")</f>
        <v/>
      </c>
      <c r="O231" s="33" t="str">
        <f>IF(Account!$F231&lt;&gt;"", DATEVALUE(MID($A231,4,3) &amp; LEFT($A231,3) &amp; RIGHT($A231,4)) + TIMEVALUE($B231), "")</f>
        <v/>
      </c>
      <c r="P231" s="34" t="str">
        <f>IF(Account!$F231&lt;&gt;"", DATEVALUE(MID($C231,4,3) &amp; LEFT($C231,3) &amp; RIGHT($C231,4)), "")</f>
        <v/>
      </c>
      <c r="Q231" s="35" t="str">
        <f t="array" ref="Q231">IF($R231&lt;&gt;"",IFERROR(INDEX(ISIN!$B:$B,MATCH($R231,ISIN!$C:$C,0))),)</f>
        <v/>
      </c>
      <c r="R231" s="36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5" t="str">
        <f t="shared" si="1"/>
        <v/>
      </c>
      <c r="T231" s="37" t="str">
        <f t="shared" si="2"/>
        <v/>
      </c>
      <c r="U231" s="38" t="str">
        <f t="shared" si="3"/>
        <v/>
      </c>
      <c r="V231" s="32" t="str">
        <f t="shared" si="4"/>
        <v/>
      </c>
      <c r="W231" s="39" t="str">
        <f>IFERROR(__xludf.DUMMYFUNCTION(" IF(Account!$F231&lt;&gt;"""", SPLIT(Account!$F231, "" ""), """")"),"")</f>
        <v/>
      </c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</row>
    <row r="232">
      <c r="A232" s="12"/>
      <c r="B232" s="12"/>
      <c r="C232" s="12"/>
      <c r="D232" s="12"/>
      <c r="E232" s="12"/>
      <c r="F232" s="13"/>
      <c r="G232" s="291"/>
      <c r="H232" s="12"/>
      <c r="I232" s="12"/>
      <c r="J232" s="12"/>
      <c r="K232" s="12"/>
      <c r="L232" s="13"/>
      <c r="M232" s="30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2" t="str">
        <f>IFERROR(__xludf.DUMMYFUNCTION("IF(Account!$F232&lt;&gt;"""", VALUE(REGEXREPLACE($I232, ""\,"", ""."")), """")"),"")</f>
        <v/>
      </c>
      <c r="O232" s="33" t="str">
        <f>IF(Account!$F232&lt;&gt;"", DATEVALUE(MID($A232,4,3) &amp; LEFT($A232,3) &amp; RIGHT($A232,4)) + TIMEVALUE($B232), "")</f>
        <v/>
      </c>
      <c r="P232" s="34" t="str">
        <f>IF(Account!$F232&lt;&gt;"", DATEVALUE(MID($C232,4,3) &amp; LEFT($C232,3) &amp; RIGHT($C232,4)), "")</f>
        <v/>
      </c>
      <c r="Q232" s="35" t="str">
        <f t="array" ref="Q232">IF($R232&lt;&gt;"",IFERROR(INDEX(ISIN!$B:$B,MATCH($R232,ISIN!$C:$C,0))),)</f>
        <v/>
      </c>
      <c r="R232" s="36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5" t="str">
        <f t="shared" si="1"/>
        <v/>
      </c>
      <c r="T232" s="37" t="str">
        <f t="shared" si="2"/>
        <v/>
      </c>
      <c r="U232" s="38" t="str">
        <f t="shared" si="3"/>
        <v/>
      </c>
      <c r="V232" s="32" t="str">
        <f t="shared" si="4"/>
        <v/>
      </c>
      <c r="W232" s="39" t="str">
        <f>IFERROR(__xludf.DUMMYFUNCTION(" IF(Account!$F232&lt;&gt;"""", SPLIT(Account!$F232, "" ""), """")"),"")</f>
        <v/>
      </c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</row>
    <row r="233">
      <c r="A233" s="12"/>
      <c r="B233" s="12"/>
      <c r="C233" s="12"/>
      <c r="D233" s="12"/>
      <c r="E233" s="12"/>
      <c r="F233" s="13"/>
      <c r="G233" s="12"/>
      <c r="H233" s="12"/>
      <c r="I233" s="12"/>
      <c r="J233" s="12"/>
      <c r="K233" s="12"/>
      <c r="L233" s="13"/>
      <c r="M233" s="30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2" t="str">
        <f>IFERROR(__xludf.DUMMYFUNCTION("IF(Account!$F233&lt;&gt;"""", VALUE(REGEXREPLACE($I233, ""\,"", ""."")), """")"),"")</f>
        <v/>
      </c>
      <c r="O233" s="33" t="str">
        <f>IF(Account!$F233&lt;&gt;"", DATEVALUE(MID($A233,4,3) &amp; LEFT($A233,3) &amp; RIGHT($A233,4)) + TIMEVALUE($B233), "")</f>
        <v/>
      </c>
      <c r="P233" s="34" t="str">
        <f>IF(Account!$F233&lt;&gt;"", DATEVALUE(MID($C233,4,3) &amp; LEFT($C233,3) &amp; RIGHT($C233,4)), "")</f>
        <v/>
      </c>
      <c r="Q233" s="35" t="str">
        <f t="array" ref="Q233">IF($R233&lt;&gt;"",IFERROR(INDEX(ISIN!$B:$B,MATCH($R233,ISIN!$C:$C,0))),)</f>
        <v/>
      </c>
      <c r="R233" s="36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5" t="str">
        <f t="shared" si="1"/>
        <v/>
      </c>
      <c r="T233" s="37" t="str">
        <f t="shared" si="2"/>
        <v/>
      </c>
      <c r="U233" s="38" t="str">
        <f t="shared" si="3"/>
        <v/>
      </c>
      <c r="V233" s="32" t="str">
        <f t="shared" si="4"/>
        <v/>
      </c>
      <c r="W233" s="39" t="str">
        <f>IFERROR(__xludf.DUMMYFUNCTION(" IF(Account!$F233&lt;&gt;"""", SPLIT(Account!$F233, "" ""), """")"),"")</f>
        <v/>
      </c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</row>
    <row r="234">
      <c r="A234" s="12"/>
      <c r="B234" s="12"/>
      <c r="C234" s="12"/>
      <c r="D234" s="12"/>
      <c r="E234" s="12"/>
      <c r="F234" s="13"/>
      <c r="G234" s="12"/>
      <c r="H234" s="12"/>
      <c r="I234" s="12"/>
      <c r="J234" s="12"/>
      <c r="K234" s="12"/>
      <c r="L234" s="13"/>
      <c r="M234" s="30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2" t="str">
        <f>IFERROR(__xludf.DUMMYFUNCTION("IF(Account!$F234&lt;&gt;"""", VALUE(REGEXREPLACE($I234, ""\,"", ""."")), """")"),"")</f>
        <v/>
      </c>
      <c r="O234" s="33" t="str">
        <f>IF(Account!$F234&lt;&gt;"", DATEVALUE(MID($A234,4,3) &amp; LEFT($A234,3) &amp; RIGHT($A234,4)) + TIMEVALUE($B234), "")</f>
        <v/>
      </c>
      <c r="P234" s="34" t="str">
        <f>IF(Account!$F234&lt;&gt;"", DATEVALUE(MID($C234,4,3) &amp; LEFT($C234,3) &amp; RIGHT($C234,4)), "")</f>
        <v/>
      </c>
      <c r="Q234" s="35" t="str">
        <f t="array" ref="Q234">IF($R234&lt;&gt;"",IFERROR(INDEX(ISIN!$B:$B,MATCH($R234,ISIN!$C:$C,0))),)</f>
        <v/>
      </c>
      <c r="R234" s="36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5" t="str">
        <f t="shared" si="1"/>
        <v/>
      </c>
      <c r="T234" s="37" t="str">
        <f t="shared" si="2"/>
        <v/>
      </c>
      <c r="U234" s="38" t="str">
        <f t="shared" si="3"/>
        <v/>
      </c>
      <c r="V234" s="32" t="str">
        <f t="shared" si="4"/>
        <v/>
      </c>
      <c r="W234" s="39" t="str">
        <f>IFERROR(__xludf.DUMMYFUNCTION(" IF(Account!$F234&lt;&gt;"""", SPLIT(Account!$F234, "" ""), """")"),"")</f>
        <v/>
      </c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</row>
    <row r="235">
      <c r="A235" s="12"/>
      <c r="B235" s="12"/>
      <c r="C235" s="12"/>
      <c r="D235" s="12"/>
      <c r="E235" s="12"/>
      <c r="F235" s="13"/>
      <c r="G235" s="12"/>
      <c r="H235" s="12"/>
      <c r="I235" s="12"/>
      <c r="J235" s="12"/>
      <c r="K235" s="12"/>
      <c r="L235" s="13"/>
      <c r="M235" s="30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2" t="str">
        <f>IFERROR(__xludf.DUMMYFUNCTION("IF(Account!$F235&lt;&gt;"""", VALUE(REGEXREPLACE($I235, ""\,"", ""."")), """")"),"")</f>
        <v/>
      </c>
      <c r="O235" s="33" t="str">
        <f>IF(Account!$F235&lt;&gt;"", DATEVALUE(MID($A235,4,3) &amp; LEFT($A235,3) &amp; RIGHT($A235,4)) + TIMEVALUE($B235), "")</f>
        <v/>
      </c>
      <c r="P235" s="34" t="str">
        <f>IF(Account!$F235&lt;&gt;"", DATEVALUE(MID($C235,4,3) &amp; LEFT($C235,3) &amp; RIGHT($C235,4)), "")</f>
        <v/>
      </c>
      <c r="Q235" s="35" t="str">
        <f t="array" ref="Q235">IF($R235&lt;&gt;"",IFERROR(INDEX(ISIN!$B:$B,MATCH($R235,ISIN!$C:$C,0))),)</f>
        <v/>
      </c>
      <c r="R235" s="36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5" t="str">
        <f t="shared" si="1"/>
        <v/>
      </c>
      <c r="T235" s="37" t="str">
        <f t="shared" si="2"/>
        <v/>
      </c>
      <c r="U235" s="38" t="str">
        <f t="shared" si="3"/>
        <v/>
      </c>
      <c r="V235" s="32" t="str">
        <f t="shared" si="4"/>
        <v/>
      </c>
      <c r="W235" s="39" t="str">
        <f>IFERROR(__xludf.DUMMYFUNCTION(" IF(Account!$F235&lt;&gt;"""", SPLIT(Account!$F235, "" ""), """")"),"")</f>
        <v/>
      </c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</row>
    <row r="236">
      <c r="A236" s="12"/>
      <c r="B236" s="12"/>
      <c r="C236" s="12"/>
      <c r="D236" s="12"/>
      <c r="E236" s="12"/>
      <c r="F236" s="13"/>
      <c r="G236" s="12"/>
      <c r="H236" s="12"/>
      <c r="I236" s="12"/>
      <c r="J236" s="12"/>
      <c r="K236" s="12"/>
      <c r="L236" s="13"/>
      <c r="M236" s="30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2" t="str">
        <f>IFERROR(__xludf.DUMMYFUNCTION("IF(Account!$F236&lt;&gt;"""", VALUE(REGEXREPLACE($I236, ""\,"", ""."")), """")"),"")</f>
        <v/>
      </c>
      <c r="O236" s="33" t="str">
        <f>IF(Account!$F236&lt;&gt;"", DATEVALUE(MID($A236,4,3) &amp; LEFT($A236,3) &amp; RIGHT($A236,4)) + TIMEVALUE($B236), "")</f>
        <v/>
      </c>
      <c r="P236" s="34" t="str">
        <f>IF(Account!$F236&lt;&gt;"", DATEVALUE(MID($C236,4,3) &amp; LEFT($C236,3) &amp; RIGHT($C236,4)), "")</f>
        <v/>
      </c>
      <c r="Q236" s="35" t="str">
        <f t="array" ref="Q236">IF($R236&lt;&gt;"",IFERROR(INDEX(ISIN!$B:$B,MATCH($R236,ISIN!$C:$C,0))),)</f>
        <v/>
      </c>
      <c r="R236" s="36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5" t="str">
        <f t="shared" si="1"/>
        <v/>
      </c>
      <c r="T236" s="37" t="str">
        <f t="shared" si="2"/>
        <v/>
      </c>
      <c r="U236" s="38" t="str">
        <f t="shared" si="3"/>
        <v/>
      </c>
      <c r="V236" s="32" t="str">
        <f t="shared" si="4"/>
        <v/>
      </c>
      <c r="W236" s="39" t="str">
        <f>IFERROR(__xludf.DUMMYFUNCTION(" IF(Account!$F236&lt;&gt;"""", SPLIT(Account!$F236, "" ""), """")"),"")</f>
        <v/>
      </c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</row>
    <row r="237">
      <c r="A237" s="12"/>
      <c r="B237" s="12"/>
      <c r="C237" s="12"/>
      <c r="D237" s="12"/>
      <c r="E237" s="12"/>
      <c r="F237" s="13"/>
      <c r="G237" s="12"/>
      <c r="H237" s="12"/>
      <c r="I237" s="12"/>
      <c r="J237" s="12"/>
      <c r="K237" s="12"/>
      <c r="L237" s="13"/>
      <c r="M237" s="30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2" t="str">
        <f>IFERROR(__xludf.DUMMYFUNCTION("IF(Account!$F237&lt;&gt;"""", VALUE(REGEXREPLACE($I237, ""\,"", ""."")), """")"),"")</f>
        <v/>
      </c>
      <c r="O237" s="33" t="str">
        <f>IF(Account!$F237&lt;&gt;"", DATEVALUE(MID($A237,4,3) &amp; LEFT($A237,3) &amp; RIGHT($A237,4)) + TIMEVALUE($B237), "")</f>
        <v/>
      </c>
      <c r="P237" s="34" t="str">
        <f>IF(Account!$F237&lt;&gt;"", DATEVALUE(MID($C237,4,3) &amp; LEFT($C237,3) &amp; RIGHT($C237,4)), "")</f>
        <v/>
      </c>
      <c r="Q237" s="35" t="str">
        <f t="array" ref="Q237">IF($R237&lt;&gt;"",IFERROR(INDEX(ISIN!$B:$B,MATCH($R237,ISIN!$C:$C,0))),)</f>
        <v/>
      </c>
      <c r="R237" s="36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5" t="str">
        <f t="shared" si="1"/>
        <v/>
      </c>
      <c r="T237" s="37" t="str">
        <f t="shared" si="2"/>
        <v/>
      </c>
      <c r="U237" s="38" t="str">
        <f t="shared" si="3"/>
        <v/>
      </c>
      <c r="V237" s="32" t="str">
        <f t="shared" si="4"/>
        <v/>
      </c>
      <c r="W237" s="39" t="str">
        <f>IFERROR(__xludf.DUMMYFUNCTION(" IF(Account!$F237&lt;&gt;"""", SPLIT(Account!$F237, "" ""), """")"),"")</f>
        <v/>
      </c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</row>
    <row r="238">
      <c r="A238" s="12"/>
      <c r="B238" s="12"/>
      <c r="C238" s="12"/>
      <c r="D238" s="12"/>
      <c r="E238" s="12"/>
      <c r="F238" s="13"/>
      <c r="G238" s="291"/>
      <c r="H238" s="12"/>
      <c r="I238" s="12"/>
      <c r="J238" s="12"/>
      <c r="K238" s="12"/>
      <c r="L238" s="13"/>
      <c r="M238" s="30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2" t="str">
        <f>IFERROR(__xludf.DUMMYFUNCTION("IF(Account!$F238&lt;&gt;"""", VALUE(REGEXREPLACE($I238, ""\,"", ""."")), """")"),"")</f>
        <v/>
      </c>
      <c r="O238" s="33" t="str">
        <f>IF(Account!$F238&lt;&gt;"", DATEVALUE(MID($A238,4,3) &amp; LEFT($A238,3) &amp; RIGHT($A238,4)) + TIMEVALUE($B238), "")</f>
        <v/>
      </c>
      <c r="P238" s="34" t="str">
        <f>IF(Account!$F238&lt;&gt;"", DATEVALUE(MID($C238,4,3) &amp; LEFT($C238,3) &amp; RIGHT($C238,4)), "")</f>
        <v/>
      </c>
      <c r="Q238" s="35" t="str">
        <f t="array" ref="Q238">IF($R238&lt;&gt;"",IFERROR(INDEX(ISIN!$B:$B,MATCH($R238,ISIN!$C:$C,0))),)</f>
        <v/>
      </c>
      <c r="R238" s="36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5" t="str">
        <f t="shared" si="1"/>
        <v/>
      </c>
      <c r="T238" s="37" t="str">
        <f t="shared" si="2"/>
        <v/>
      </c>
      <c r="U238" s="38" t="str">
        <f t="shared" si="3"/>
        <v/>
      </c>
      <c r="V238" s="32" t="str">
        <f t="shared" si="4"/>
        <v/>
      </c>
      <c r="W238" s="39" t="str">
        <f>IFERROR(__xludf.DUMMYFUNCTION(" IF(Account!$F238&lt;&gt;"""", SPLIT(Account!$F238, "" ""), """")"),"")</f>
        <v/>
      </c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</row>
    <row r="239">
      <c r="A239" s="12"/>
      <c r="B239" s="12"/>
      <c r="C239" s="12"/>
      <c r="D239" s="12"/>
      <c r="E239" s="12"/>
      <c r="F239" s="13"/>
      <c r="G239" s="12"/>
      <c r="H239" s="12"/>
      <c r="I239" s="12"/>
      <c r="J239" s="12"/>
      <c r="K239" s="12"/>
      <c r="L239" s="13"/>
      <c r="M239" s="30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2" t="str">
        <f>IFERROR(__xludf.DUMMYFUNCTION("IF(Account!$F239&lt;&gt;"""", VALUE(REGEXREPLACE($I239, ""\,"", ""."")), """")"),"")</f>
        <v/>
      </c>
      <c r="O239" s="33" t="str">
        <f>IF(Account!$F239&lt;&gt;"", DATEVALUE(MID($A239,4,3) &amp; LEFT($A239,3) &amp; RIGHT($A239,4)) + TIMEVALUE($B239), "")</f>
        <v/>
      </c>
      <c r="P239" s="34" t="str">
        <f>IF(Account!$F239&lt;&gt;"", DATEVALUE(MID($C239,4,3) &amp; LEFT($C239,3) &amp; RIGHT($C239,4)), "")</f>
        <v/>
      </c>
      <c r="Q239" s="35" t="str">
        <f t="array" ref="Q239">IF($R239&lt;&gt;"",IFERROR(INDEX(ISIN!$B:$B,MATCH($R239,ISIN!$C:$C,0))),)</f>
        <v/>
      </c>
      <c r="R239" s="36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5" t="str">
        <f t="shared" si="1"/>
        <v/>
      </c>
      <c r="T239" s="37" t="str">
        <f t="shared" si="2"/>
        <v/>
      </c>
      <c r="U239" s="38" t="str">
        <f t="shared" si="3"/>
        <v/>
      </c>
      <c r="V239" s="32" t="str">
        <f t="shared" si="4"/>
        <v/>
      </c>
      <c r="W239" s="39" t="str">
        <f>IFERROR(__xludf.DUMMYFUNCTION(" IF(Account!$F239&lt;&gt;"""", SPLIT(Account!$F239, "" ""), """")"),"")</f>
        <v/>
      </c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</row>
    <row r="240">
      <c r="A240" s="12"/>
      <c r="B240" s="12"/>
      <c r="C240" s="12"/>
      <c r="D240" s="12"/>
      <c r="E240" s="12"/>
      <c r="F240" s="13"/>
      <c r="G240" s="291"/>
      <c r="H240" s="12"/>
      <c r="I240" s="12"/>
      <c r="J240" s="12"/>
      <c r="K240" s="12"/>
      <c r="L240" s="13"/>
      <c r="M240" s="30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2" t="str">
        <f>IFERROR(__xludf.DUMMYFUNCTION("IF(Account!$F240&lt;&gt;"""", VALUE(REGEXREPLACE($I240, ""\,"", ""."")), """")"),"")</f>
        <v/>
      </c>
      <c r="O240" s="33" t="str">
        <f>IF(Account!$F240&lt;&gt;"", DATEVALUE(MID($A240,4,3) &amp; LEFT($A240,3) &amp; RIGHT($A240,4)) + TIMEVALUE($B240), "")</f>
        <v/>
      </c>
      <c r="P240" s="34" t="str">
        <f>IF(Account!$F240&lt;&gt;"", DATEVALUE(MID($C240,4,3) &amp; LEFT($C240,3) &amp; RIGHT($C240,4)), "")</f>
        <v/>
      </c>
      <c r="Q240" s="35" t="str">
        <f t="array" ref="Q240">IF($R240&lt;&gt;"",IFERROR(INDEX(ISIN!$B:$B,MATCH($R240,ISIN!$C:$C,0))),)</f>
        <v/>
      </c>
      <c r="R240" s="36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5" t="str">
        <f t="shared" si="1"/>
        <v/>
      </c>
      <c r="T240" s="37" t="str">
        <f t="shared" si="2"/>
        <v/>
      </c>
      <c r="U240" s="38" t="str">
        <f t="shared" si="3"/>
        <v/>
      </c>
      <c r="V240" s="32" t="str">
        <f t="shared" si="4"/>
        <v/>
      </c>
      <c r="W240" s="39" t="str">
        <f>IFERROR(__xludf.DUMMYFUNCTION(" IF(Account!$F240&lt;&gt;"""", SPLIT(Account!$F240, "" ""), """")"),"")</f>
        <v/>
      </c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</row>
    <row r="241">
      <c r="A241" s="12"/>
      <c r="B241" s="12"/>
      <c r="C241" s="12"/>
      <c r="D241" s="12"/>
      <c r="E241" s="12"/>
      <c r="F241" s="13"/>
      <c r="G241" s="12"/>
      <c r="H241" s="12"/>
      <c r="I241" s="12"/>
      <c r="J241" s="12"/>
      <c r="K241" s="12"/>
      <c r="L241" s="13"/>
      <c r="M241" s="30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2" t="str">
        <f>IFERROR(__xludf.DUMMYFUNCTION("IF(Account!$F241&lt;&gt;"""", VALUE(REGEXREPLACE($I241, ""\,"", ""."")), """")"),"")</f>
        <v/>
      </c>
      <c r="O241" s="33" t="str">
        <f>IF(Account!$F241&lt;&gt;"", DATEVALUE(MID($A241,4,3) &amp; LEFT($A241,3) &amp; RIGHT($A241,4)) + TIMEVALUE($B241), "")</f>
        <v/>
      </c>
      <c r="P241" s="34" t="str">
        <f>IF(Account!$F241&lt;&gt;"", DATEVALUE(MID($C241,4,3) &amp; LEFT($C241,3) &amp; RIGHT($C241,4)), "")</f>
        <v/>
      </c>
      <c r="Q241" s="35" t="str">
        <f t="array" ref="Q241">IF($R241&lt;&gt;"",IFERROR(INDEX(ISIN!$B:$B,MATCH($R241,ISIN!$C:$C,0))),)</f>
        <v/>
      </c>
      <c r="R241" s="36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5" t="str">
        <f t="shared" si="1"/>
        <v/>
      </c>
      <c r="T241" s="37" t="str">
        <f t="shared" si="2"/>
        <v/>
      </c>
      <c r="U241" s="38" t="str">
        <f t="shared" si="3"/>
        <v/>
      </c>
      <c r="V241" s="32" t="str">
        <f t="shared" si="4"/>
        <v/>
      </c>
      <c r="W241" s="39" t="str">
        <f>IFERROR(__xludf.DUMMYFUNCTION(" IF(Account!$F241&lt;&gt;"""", SPLIT(Account!$F241, "" ""), """")"),"")</f>
        <v/>
      </c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</row>
    <row r="242">
      <c r="A242" s="12"/>
      <c r="B242" s="12"/>
      <c r="C242" s="12"/>
      <c r="D242" s="12"/>
      <c r="E242" s="12"/>
      <c r="F242" s="13"/>
      <c r="G242" s="12"/>
      <c r="H242" s="12"/>
      <c r="I242" s="12"/>
      <c r="J242" s="12"/>
      <c r="K242" s="12"/>
      <c r="L242" s="13"/>
      <c r="M242" s="30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2" t="str">
        <f>IFERROR(__xludf.DUMMYFUNCTION("IF(Account!$F242&lt;&gt;"""", VALUE(REGEXREPLACE($I242, ""\,"", ""."")), """")"),"")</f>
        <v/>
      </c>
      <c r="O242" s="33" t="str">
        <f>IF(Account!$F242&lt;&gt;"", DATEVALUE(MID($A242,4,3) &amp; LEFT($A242,3) &amp; RIGHT($A242,4)) + TIMEVALUE($B242), "")</f>
        <v/>
      </c>
      <c r="P242" s="34" t="str">
        <f>IF(Account!$F242&lt;&gt;"", DATEVALUE(MID($C242,4,3) &amp; LEFT($C242,3) &amp; RIGHT($C242,4)), "")</f>
        <v/>
      </c>
      <c r="Q242" s="35" t="str">
        <f t="array" ref="Q242">IF($R242&lt;&gt;"",IFERROR(INDEX(ISIN!$B:$B,MATCH($R242,ISIN!$C:$C,0))),)</f>
        <v/>
      </c>
      <c r="R242" s="36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5" t="str">
        <f t="shared" si="1"/>
        <v/>
      </c>
      <c r="T242" s="37" t="str">
        <f t="shared" si="2"/>
        <v/>
      </c>
      <c r="U242" s="38" t="str">
        <f t="shared" si="3"/>
        <v/>
      </c>
      <c r="V242" s="32" t="str">
        <f t="shared" si="4"/>
        <v/>
      </c>
      <c r="W242" s="39" t="str">
        <f>IFERROR(__xludf.DUMMYFUNCTION(" IF(Account!$F242&lt;&gt;"""", SPLIT(Account!$F242, "" ""), """")"),"")</f>
        <v/>
      </c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</row>
    <row r="243">
      <c r="A243" s="12"/>
      <c r="B243" s="12"/>
      <c r="C243" s="12"/>
      <c r="D243" s="12"/>
      <c r="E243" s="12"/>
      <c r="F243" s="13"/>
      <c r="G243" s="12"/>
      <c r="H243" s="12"/>
      <c r="I243" s="12"/>
      <c r="J243" s="12"/>
      <c r="K243" s="12"/>
      <c r="L243" s="13"/>
      <c r="M243" s="30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2" t="str">
        <f>IFERROR(__xludf.DUMMYFUNCTION("IF(Account!$F243&lt;&gt;"""", VALUE(REGEXREPLACE($I243, ""\,"", ""."")), """")"),"")</f>
        <v/>
      </c>
      <c r="O243" s="33" t="str">
        <f>IF(Account!$F243&lt;&gt;"", DATEVALUE(MID($A243,4,3) &amp; LEFT($A243,3) &amp; RIGHT($A243,4)) + TIMEVALUE($B243), "")</f>
        <v/>
      </c>
      <c r="P243" s="34" t="str">
        <f>IF(Account!$F243&lt;&gt;"", DATEVALUE(MID($C243,4,3) &amp; LEFT($C243,3) &amp; RIGHT($C243,4)), "")</f>
        <v/>
      </c>
      <c r="Q243" s="35" t="str">
        <f t="array" ref="Q243">IF($R243&lt;&gt;"",IFERROR(INDEX(ISIN!$B:$B,MATCH($R243,ISIN!$C:$C,0))),)</f>
        <v/>
      </c>
      <c r="R243" s="36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5" t="str">
        <f t="shared" si="1"/>
        <v/>
      </c>
      <c r="T243" s="37" t="str">
        <f t="shared" si="2"/>
        <v/>
      </c>
      <c r="U243" s="38" t="str">
        <f t="shared" si="3"/>
        <v/>
      </c>
      <c r="V243" s="32" t="str">
        <f t="shared" si="4"/>
        <v/>
      </c>
      <c r="W243" s="39" t="str">
        <f>IFERROR(__xludf.DUMMYFUNCTION(" IF(Account!$F243&lt;&gt;"""", SPLIT(Account!$F243, "" ""), """")"),"")</f>
        <v/>
      </c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</row>
    <row r="244">
      <c r="A244" s="12"/>
      <c r="B244" s="12"/>
      <c r="C244" s="12"/>
      <c r="D244" s="12"/>
      <c r="E244" s="12"/>
      <c r="F244" s="13"/>
      <c r="G244" s="291"/>
      <c r="H244" s="12"/>
      <c r="I244" s="12"/>
      <c r="J244" s="12"/>
      <c r="K244" s="12"/>
      <c r="L244" s="13"/>
      <c r="M244" s="30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2" t="str">
        <f>IFERROR(__xludf.DUMMYFUNCTION("IF(Account!$F244&lt;&gt;"""", VALUE(REGEXREPLACE($I244, ""\,"", ""."")), """")"),"")</f>
        <v/>
      </c>
      <c r="O244" s="33" t="str">
        <f>IF(Account!$F244&lt;&gt;"", DATEVALUE(MID($A244,4,3) &amp; LEFT($A244,3) &amp; RIGHT($A244,4)) + TIMEVALUE($B244), "")</f>
        <v/>
      </c>
      <c r="P244" s="34" t="str">
        <f>IF(Account!$F244&lt;&gt;"", DATEVALUE(MID($C244,4,3) &amp; LEFT($C244,3) &amp; RIGHT($C244,4)), "")</f>
        <v/>
      </c>
      <c r="Q244" s="35" t="str">
        <f t="array" ref="Q244">IF($R244&lt;&gt;"",IFERROR(INDEX(ISIN!$B:$B,MATCH($R244,ISIN!$C:$C,0))),)</f>
        <v/>
      </c>
      <c r="R244" s="36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5" t="str">
        <f t="shared" si="1"/>
        <v/>
      </c>
      <c r="T244" s="37" t="str">
        <f t="shared" si="2"/>
        <v/>
      </c>
      <c r="U244" s="38" t="str">
        <f t="shared" si="3"/>
        <v/>
      </c>
      <c r="V244" s="32" t="str">
        <f t="shared" si="4"/>
        <v/>
      </c>
      <c r="W244" s="39" t="str">
        <f>IFERROR(__xludf.DUMMYFUNCTION(" IF(Account!$F244&lt;&gt;"""", SPLIT(Account!$F244, "" ""), """")"),"")</f>
        <v/>
      </c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</row>
    <row r="245">
      <c r="A245" s="12"/>
      <c r="B245" s="12"/>
      <c r="C245" s="12"/>
      <c r="D245" s="12"/>
      <c r="E245" s="12"/>
      <c r="F245" s="13"/>
      <c r="G245" s="12"/>
      <c r="H245" s="12"/>
      <c r="I245" s="12"/>
      <c r="J245" s="12"/>
      <c r="K245" s="12"/>
      <c r="L245" s="13"/>
      <c r="M245" s="30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2" t="str">
        <f>IFERROR(__xludf.DUMMYFUNCTION("IF(Account!$F245&lt;&gt;"""", VALUE(REGEXREPLACE($I245, ""\,"", ""."")), """")"),"")</f>
        <v/>
      </c>
      <c r="O245" s="33" t="str">
        <f>IF(Account!$F245&lt;&gt;"", DATEVALUE(MID($A245,4,3) &amp; LEFT($A245,3) &amp; RIGHT($A245,4)) + TIMEVALUE($B245), "")</f>
        <v/>
      </c>
      <c r="P245" s="34" t="str">
        <f>IF(Account!$F245&lt;&gt;"", DATEVALUE(MID($C245,4,3) &amp; LEFT($C245,3) &amp; RIGHT($C245,4)), "")</f>
        <v/>
      </c>
      <c r="Q245" s="35" t="str">
        <f t="array" ref="Q245">IF($R245&lt;&gt;"",IFERROR(INDEX(ISIN!$B:$B,MATCH($R245,ISIN!$C:$C,0))),)</f>
        <v/>
      </c>
      <c r="R245" s="36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5" t="str">
        <f t="shared" si="1"/>
        <v/>
      </c>
      <c r="T245" s="37" t="str">
        <f t="shared" si="2"/>
        <v/>
      </c>
      <c r="U245" s="38" t="str">
        <f t="shared" si="3"/>
        <v/>
      </c>
      <c r="V245" s="32" t="str">
        <f t="shared" si="4"/>
        <v/>
      </c>
      <c r="W245" s="39" t="str">
        <f>IFERROR(__xludf.DUMMYFUNCTION(" IF(Account!$F245&lt;&gt;"""", SPLIT(Account!$F245, "" ""), """")"),"")</f>
        <v/>
      </c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</row>
    <row r="246">
      <c r="A246" s="12"/>
      <c r="B246" s="12"/>
      <c r="C246" s="12"/>
      <c r="D246" s="12"/>
      <c r="E246" s="12"/>
      <c r="F246" s="13"/>
      <c r="G246" s="291"/>
      <c r="H246" s="12"/>
      <c r="I246" s="12"/>
      <c r="J246" s="12"/>
      <c r="K246" s="12"/>
      <c r="L246" s="13"/>
      <c r="M246" s="30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2" t="str">
        <f>IFERROR(__xludf.DUMMYFUNCTION("IF(Account!$F246&lt;&gt;"""", VALUE(REGEXREPLACE($I246, ""\,"", ""."")), """")"),"")</f>
        <v/>
      </c>
      <c r="O246" s="33" t="str">
        <f>IF(Account!$F246&lt;&gt;"", DATEVALUE(MID($A246,4,3) &amp; LEFT($A246,3) &amp; RIGHT($A246,4)) + TIMEVALUE($B246), "")</f>
        <v/>
      </c>
      <c r="P246" s="34" t="str">
        <f>IF(Account!$F246&lt;&gt;"", DATEVALUE(MID($C246,4,3) &amp; LEFT($C246,3) &amp; RIGHT($C246,4)), "")</f>
        <v/>
      </c>
      <c r="Q246" s="35" t="str">
        <f t="array" ref="Q246">IF($R246&lt;&gt;"",IFERROR(INDEX(ISIN!$B:$B,MATCH($R246,ISIN!$C:$C,0))),)</f>
        <v/>
      </c>
      <c r="R246" s="36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5" t="str">
        <f t="shared" si="1"/>
        <v/>
      </c>
      <c r="T246" s="37" t="str">
        <f t="shared" si="2"/>
        <v/>
      </c>
      <c r="U246" s="38" t="str">
        <f t="shared" si="3"/>
        <v/>
      </c>
      <c r="V246" s="32" t="str">
        <f t="shared" si="4"/>
        <v/>
      </c>
      <c r="W246" s="39" t="str">
        <f>IFERROR(__xludf.DUMMYFUNCTION(" IF(Account!$F246&lt;&gt;"""", SPLIT(Account!$F246, "" ""), """")"),"")</f>
        <v/>
      </c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</row>
    <row r="247">
      <c r="A247" s="12"/>
      <c r="B247" s="12"/>
      <c r="C247" s="12"/>
      <c r="D247" s="12"/>
      <c r="E247" s="12"/>
      <c r="F247" s="13"/>
      <c r="G247" s="12"/>
      <c r="H247" s="12"/>
      <c r="I247" s="12"/>
      <c r="J247" s="12"/>
      <c r="K247" s="12"/>
      <c r="L247" s="13"/>
      <c r="M247" s="30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2" t="str">
        <f>IFERROR(__xludf.DUMMYFUNCTION("IF(Account!$F247&lt;&gt;"""", VALUE(REGEXREPLACE($I247, ""\,"", ""."")), """")"),"")</f>
        <v/>
      </c>
      <c r="O247" s="33" t="str">
        <f>IF(Account!$F247&lt;&gt;"", DATEVALUE(MID($A247,4,3) &amp; LEFT($A247,3) &amp; RIGHT($A247,4)) + TIMEVALUE($B247), "")</f>
        <v/>
      </c>
      <c r="P247" s="34" t="str">
        <f>IF(Account!$F247&lt;&gt;"", DATEVALUE(MID($C247,4,3) &amp; LEFT($C247,3) &amp; RIGHT($C247,4)), "")</f>
        <v/>
      </c>
      <c r="Q247" s="35" t="str">
        <f t="array" ref="Q247">IF($R247&lt;&gt;"",IFERROR(INDEX(ISIN!$B:$B,MATCH($R247,ISIN!$C:$C,0))),)</f>
        <v/>
      </c>
      <c r="R247" s="36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5" t="str">
        <f t="shared" si="1"/>
        <v/>
      </c>
      <c r="T247" s="37" t="str">
        <f t="shared" si="2"/>
        <v/>
      </c>
      <c r="U247" s="38" t="str">
        <f t="shared" si="3"/>
        <v/>
      </c>
      <c r="V247" s="32" t="str">
        <f t="shared" si="4"/>
        <v/>
      </c>
      <c r="W247" s="39" t="str">
        <f>IFERROR(__xludf.DUMMYFUNCTION(" IF(Account!$F247&lt;&gt;"""", SPLIT(Account!$F247, "" ""), """")"),"")</f>
        <v/>
      </c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</row>
    <row r="248">
      <c r="A248" s="12"/>
      <c r="B248" s="12"/>
      <c r="C248" s="12"/>
      <c r="D248" s="12"/>
      <c r="E248" s="12"/>
      <c r="F248" s="13"/>
      <c r="G248" s="291"/>
      <c r="H248" s="12"/>
      <c r="I248" s="12"/>
      <c r="J248" s="12"/>
      <c r="K248" s="12"/>
      <c r="L248" s="13"/>
      <c r="M248" s="30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2" t="str">
        <f>IFERROR(__xludf.DUMMYFUNCTION("IF(Account!$F248&lt;&gt;"""", VALUE(REGEXREPLACE($I248, ""\,"", ""."")), """")"),"")</f>
        <v/>
      </c>
      <c r="O248" s="33" t="str">
        <f>IF(Account!$F248&lt;&gt;"", DATEVALUE(MID($A248,4,3) &amp; LEFT($A248,3) &amp; RIGHT($A248,4)) + TIMEVALUE($B248), "")</f>
        <v/>
      </c>
      <c r="P248" s="34" t="str">
        <f>IF(Account!$F248&lt;&gt;"", DATEVALUE(MID($C248,4,3) &amp; LEFT($C248,3) &amp; RIGHT($C248,4)), "")</f>
        <v/>
      </c>
      <c r="Q248" s="35" t="str">
        <f t="array" ref="Q248">IF($R248&lt;&gt;"",IFERROR(INDEX(ISIN!$B:$B,MATCH($R248,ISIN!$C:$C,0))),)</f>
        <v/>
      </c>
      <c r="R248" s="36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5" t="str">
        <f t="shared" si="1"/>
        <v/>
      </c>
      <c r="T248" s="37" t="str">
        <f t="shared" si="2"/>
        <v/>
      </c>
      <c r="U248" s="38" t="str">
        <f t="shared" si="3"/>
        <v/>
      </c>
      <c r="V248" s="32" t="str">
        <f t="shared" si="4"/>
        <v/>
      </c>
      <c r="W248" s="39" t="str">
        <f>IFERROR(__xludf.DUMMYFUNCTION(" IF(Account!$F248&lt;&gt;"""", SPLIT(Account!$F248, "" ""), """")"),"")</f>
        <v/>
      </c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</row>
    <row r="249">
      <c r="A249" s="12"/>
      <c r="B249" s="12"/>
      <c r="C249" s="12"/>
      <c r="D249" s="12"/>
      <c r="E249" s="12"/>
      <c r="F249" s="13"/>
      <c r="G249" s="12"/>
      <c r="H249" s="12"/>
      <c r="I249" s="12"/>
      <c r="J249" s="12"/>
      <c r="K249" s="12"/>
      <c r="L249" s="13"/>
      <c r="M249" s="30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2" t="str">
        <f>IFERROR(__xludf.DUMMYFUNCTION("IF(Account!$F249&lt;&gt;"""", VALUE(REGEXREPLACE($I249, ""\,"", ""."")), """")"),"")</f>
        <v/>
      </c>
      <c r="O249" s="33" t="str">
        <f>IF(Account!$F249&lt;&gt;"", DATEVALUE(MID($A249,4,3) &amp; LEFT($A249,3) &amp; RIGHT($A249,4)) + TIMEVALUE($B249), "")</f>
        <v/>
      </c>
      <c r="P249" s="34" t="str">
        <f>IF(Account!$F249&lt;&gt;"", DATEVALUE(MID($C249,4,3) &amp; LEFT($C249,3) &amp; RIGHT($C249,4)), "")</f>
        <v/>
      </c>
      <c r="Q249" s="35" t="str">
        <f t="array" ref="Q249">IF($R249&lt;&gt;"",IFERROR(INDEX(ISIN!$B:$B,MATCH($R249,ISIN!$C:$C,0))),)</f>
        <v/>
      </c>
      <c r="R249" s="36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5" t="str">
        <f t="shared" si="1"/>
        <v/>
      </c>
      <c r="T249" s="37" t="str">
        <f t="shared" si="2"/>
        <v/>
      </c>
      <c r="U249" s="38" t="str">
        <f t="shared" si="3"/>
        <v/>
      </c>
      <c r="V249" s="32" t="str">
        <f t="shared" si="4"/>
        <v/>
      </c>
      <c r="W249" s="39" t="str">
        <f>IFERROR(__xludf.DUMMYFUNCTION(" IF(Account!$F249&lt;&gt;"""", SPLIT(Account!$F249, "" ""), """")"),"")</f>
        <v/>
      </c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</row>
    <row r="250">
      <c r="A250" s="12"/>
      <c r="B250" s="12"/>
      <c r="C250" s="12"/>
      <c r="D250" s="12"/>
      <c r="E250" s="12"/>
      <c r="F250" s="13"/>
      <c r="G250" s="291"/>
      <c r="H250" s="12"/>
      <c r="I250" s="12"/>
      <c r="J250" s="12"/>
      <c r="K250" s="12"/>
      <c r="L250" s="13"/>
      <c r="M250" s="30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2" t="str">
        <f>IFERROR(__xludf.DUMMYFUNCTION("IF(Account!$F250&lt;&gt;"""", VALUE(REGEXREPLACE($I250, ""\,"", ""."")), """")"),"")</f>
        <v/>
      </c>
      <c r="O250" s="33" t="str">
        <f>IF(Account!$F250&lt;&gt;"", DATEVALUE(MID($A250,4,3) &amp; LEFT($A250,3) &amp; RIGHT($A250,4)) + TIMEVALUE($B250), "")</f>
        <v/>
      </c>
      <c r="P250" s="34" t="str">
        <f>IF(Account!$F250&lt;&gt;"", DATEVALUE(MID($C250,4,3) &amp; LEFT($C250,3) &amp; RIGHT($C250,4)), "")</f>
        <v/>
      </c>
      <c r="Q250" s="35" t="str">
        <f t="array" ref="Q250">IF($R250&lt;&gt;"",IFERROR(INDEX(ISIN!$B:$B,MATCH($R250,ISIN!$C:$C,0))),)</f>
        <v/>
      </c>
      <c r="R250" s="36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5" t="str">
        <f t="shared" si="1"/>
        <v/>
      </c>
      <c r="T250" s="37" t="str">
        <f t="shared" si="2"/>
        <v/>
      </c>
      <c r="U250" s="38" t="str">
        <f t="shared" si="3"/>
        <v/>
      </c>
      <c r="V250" s="32" t="str">
        <f t="shared" si="4"/>
        <v/>
      </c>
      <c r="W250" s="39" t="str">
        <f>IFERROR(__xludf.DUMMYFUNCTION(" IF(Account!$F250&lt;&gt;"""", SPLIT(Account!$F250, "" ""), """")"),"")</f>
        <v/>
      </c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</row>
    <row r="251">
      <c r="A251" s="12"/>
      <c r="B251" s="12"/>
      <c r="C251" s="12"/>
      <c r="D251" s="12"/>
      <c r="E251" s="12"/>
      <c r="F251" s="13"/>
      <c r="G251" s="12"/>
      <c r="H251" s="12"/>
      <c r="I251" s="12"/>
      <c r="J251" s="12"/>
      <c r="K251" s="12"/>
      <c r="L251" s="13"/>
      <c r="M251" s="30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2" t="str">
        <f>IFERROR(__xludf.DUMMYFUNCTION("IF(Account!$F251&lt;&gt;"""", VALUE(REGEXREPLACE($I251, ""\,"", ""."")), """")"),"")</f>
        <v/>
      </c>
      <c r="O251" s="33" t="str">
        <f>IF(Account!$F251&lt;&gt;"", DATEVALUE(MID($A251,4,3) &amp; LEFT($A251,3) &amp; RIGHT($A251,4)) + TIMEVALUE($B251), "")</f>
        <v/>
      </c>
      <c r="P251" s="34" t="str">
        <f>IF(Account!$F251&lt;&gt;"", DATEVALUE(MID($C251,4,3) &amp; LEFT($C251,3) &amp; RIGHT($C251,4)), "")</f>
        <v/>
      </c>
      <c r="Q251" s="35" t="str">
        <f t="array" ref="Q251">IF($R251&lt;&gt;"",IFERROR(INDEX(ISIN!$B:$B,MATCH($R251,ISIN!$C:$C,0))),)</f>
        <v/>
      </c>
      <c r="R251" s="36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5" t="str">
        <f t="shared" si="1"/>
        <v/>
      </c>
      <c r="T251" s="37" t="str">
        <f t="shared" si="2"/>
        <v/>
      </c>
      <c r="U251" s="38" t="str">
        <f t="shared" si="3"/>
        <v/>
      </c>
      <c r="V251" s="32" t="str">
        <f t="shared" si="4"/>
        <v/>
      </c>
      <c r="W251" s="39" t="str">
        <f>IFERROR(__xludf.DUMMYFUNCTION(" IF(Account!$F251&lt;&gt;"""", SPLIT(Account!$F251, "" ""), """")"),"")</f>
        <v/>
      </c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</row>
    <row r="252">
      <c r="A252" s="12"/>
      <c r="B252" s="12"/>
      <c r="C252" s="12"/>
      <c r="D252" s="12"/>
      <c r="E252" s="12"/>
      <c r="F252" s="13"/>
      <c r="G252" s="291"/>
      <c r="H252" s="12"/>
      <c r="I252" s="12"/>
      <c r="J252" s="12"/>
      <c r="K252" s="12"/>
      <c r="L252" s="13"/>
      <c r="M252" s="30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2" t="str">
        <f>IFERROR(__xludf.DUMMYFUNCTION("IF(Account!$F252&lt;&gt;"""", VALUE(REGEXREPLACE($I252, ""\,"", ""."")), """")"),"")</f>
        <v/>
      </c>
      <c r="O252" s="33" t="str">
        <f>IF(Account!$F252&lt;&gt;"", DATEVALUE(MID($A252,4,3) &amp; LEFT($A252,3) &amp; RIGHT($A252,4)) + TIMEVALUE($B252), "")</f>
        <v/>
      </c>
      <c r="P252" s="34" t="str">
        <f>IF(Account!$F252&lt;&gt;"", DATEVALUE(MID($C252,4,3) &amp; LEFT($C252,3) &amp; RIGHT($C252,4)), "")</f>
        <v/>
      </c>
      <c r="Q252" s="35" t="str">
        <f t="array" ref="Q252">IF($R252&lt;&gt;"",IFERROR(INDEX(ISIN!$B:$B,MATCH($R252,ISIN!$C:$C,0))),)</f>
        <v/>
      </c>
      <c r="R252" s="36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5" t="str">
        <f t="shared" si="1"/>
        <v/>
      </c>
      <c r="T252" s="37" t="str">
        <f t="shared" si="2"/>
        <v/>
      </c>
      <c r="U252" s="38" t="str">
        <f t="shared" si="3"/>
        <v/>
      </c>
      <c r="V252" s="32" t="str">
        <f t="shared" si="4"/>
        <v/>
      </c>
      <c r="W252" s="39" t="str">
        <f>IFERROR(__xludf.DUMMYFUNCTION(" IF(Account!$F252&lt;&gt;"""", SPLIT(Account!$F252, "" ""), """")"),"")</f>
        <v/>
      </c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</row>
    <row r="253">
      <c r="A253" s="12"/>
      <c r="B253" s="12"/>
      <c r="C253" s="12"/>
      <c r="D253" s="12"/>
      <c r="E253" s="12"/>
      <c r="F253" s="13"/>
      <c r="G253" s="12"/>
      <c r="H253" s="12"/>
      <c r="I253" s="12"/>
      <c r="J253" s="12"/>
      <c r="K253" s="12"/>
      <c r="L253" s="13"/>
      <c r="M253" s="30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2" t="str">
        <f>IFERROR(__xludf.DUMMYFUNCTION("IF(Account!$F253&lt;&gt;"""", VALUE(REGEXREPLACE($I253, ""\,"", ""."")), """")"),"")</f>
        <v/>
      </c>
      <c r="O253" s="33" t="str">
        <f>IF(Account!$F253&lt;&gt;"", DATEVALUE(MID($A253,4,3) &amp; LEFT($A253,3) &amp; RIGHT($A253,4)) + TIMEVALUE($B253), "")</f>
        <v/>
      </c>
      <c r="P253" s="34" t="str">
        <f>IF(Account!$F253&lt;&gt;"", DATEVALUE(MID($C253,4,3) &amp; LEFT($C253,3) &amp; RIGHT($C253,4)), "")</f>
        <v/>
      </c>
      <c r="Q253" s="35" t="str">
        <f t="array" ref="Q253">IF($R253&lt;&gt;"",IFERROR(INDEX(ISIN!$B:$B,MATCH($R253,ISIN!$C:$C,0))),)</f>
        <v/>
      </c>
      <c r="R253" s="36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5" t="str">
        <f t="shared" si="1"/>
        <v/>
      </c>
      <c r="T253" s="37" t="str">
        <f t="shared" si="2"/>
        <v/>
      </c>
      <c r="U253" s="38" t="str">
        <f t="shared" si="3"/>
        <v/>
      </c>
      <c r="V253" s="32" t="str">
        <f t="shared" si="4"/>
        <v/>
      </c>
      <c r="W253" s="39" t="str">
        <f>IFERROR(__xludf.DUMMYFUNCTION(" IF(Account!$F253&lt;&gt;"""", SPLIT(Account!$F253, "" ""), """")"),"")</f>
        <v/>
      </c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</row>
    <row r="254">
      <c r="A254" s="12"/>
      <c r="B254" s="12"/>
      <c r="C254" s="12"/>
      <c r="D254" s="12"/>
      <c r="E254" s="12"/>
      <c r="F254" s="13"/>
      <c r="G254" s="12"/>
      <c r="H254" s="12"/>
      <c r="I254" s="12"/>
      <c r="J254" s="12"/>
      <c r="K254" s="12"/>
      <c r="L254" s="13"/>
      <c r="M254" s="30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2" t="str">
        <f>IFERROR(__xludf.DUMMYFUNCTION("IF(Account!$F254&lt;&gt;"""", VALUE(REGEXREPLACE($I254, ""\,"", ""."")), """")"),"")</f>
        <v/>
      </c>
      <c r="O254" s="33" t="str">
        <f>IF(Account!$F254&lt;&gt;"", DATEVALUE(MID($A254,4,3) &amp; LEFT($A254,3) &amp; RIGHT($A254,4)) + TIMEVALUE($B254), "")</f>
        <v/>
      </c>
      <c r="P254" s="34" t="str">
        <f>IF(Account!$F254&lt;&gt;"", DATEVALUE(MID($C254,4,3) &amp; LEFT($C254,3) &amp; RIGHT($C254,4)), "")</f>
        <v/>
      </c>
      <c r="Q254" s="35" t="str">
        <f t="array" ref="Q254">IF($R254&lt;&gt;"",IFERROR(INDEX(ISIN!$B:$B,MATCH($R254,ISIN!$C:$C,0))),)</f>
        <v/>
      </c>
      <c r="R254" s="36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5" t="str">
        <f t="shared" si="1"/>
        <v/>
      </c>
      <c r="T254" s="37" t="str">
        <f t="shared" si="2"/>
        <v/>
      </c>
      <c r="U254" s="38" t="str">
        <f t="shared" si="3"/>
        <v/>
      </c>
      <c r="V254" s="32" t="str">
        <f t="shared" si="4"/>
        <v/>
      </c>
      <c r="W254" s="39" t="str">
        <f>IFERROR(__xludf.DUMMYFUNCTION(" IF(Account!$F254&lt;&gt;"""", SPLIT(Account!$F254, "" ""), """")"),"")</f>
        <v/>
      </c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</row>
    <row r="255">
      <c r="A255" s="12"/>
      <c r="B255" s="12"/>
      <c r="C255" s="12"/>
      <c r="D255" s="12"/>
      <c r="E255" s="12"/>
      <c r="F255" s="13"/>
      <c r="G255" s="12"/>
      <c r="H255" s="12"/>
      <c r="I255" s="12"/>
      <c r="J255" s="12"/>
      <c r="K255" s="12"/>
      <c r="L255" s="13"/>
      <c r="M255" s="30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2" t="str">
        <f>IFERROR(__xludf.DUMMYFUNCTION("IF(Account!$F255&lt;&gt;"""", VALUE(REGEXREPLACE($I255, ""\,"", ""."")), """")"),"")</f>
        <v/>
      </c>
      <c r="O255" s="33" t="str">
        <f>IF(Account!$F255&lt;&gt;"", DATEVALUE(MID($A255,4,3) &amp; LEFT($A255,3) &amp; RIGHT($A255,4)) + TIMEVALUE($B255), "")</f>
        <v/>
      </c>
      <c r="P255" s="34" t="str">
        <f>IF(Account!$F255&lt;&gt;"", DATEVALUE(MID($C255,4,3) &amp; LEFT($C255,3) &amp; RIGHT($C255,4)), "")</f>
        <v/>
      </c>
      <c r="Q255" s="35" t="str">
        <f t="array" ref="Q255">IF($R255&lt;&gt;"",IFERROR(INDEX(ISIN!$B:$B,MATCH($R255,ISIN!$C:$C,0))),)</f>
        <v/>
      </c>
      <c r="R255" s="36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5" t="str">
        <f t="shared" si="1"/>
        <v/>
      </c>
      <c r="T255" s="37" t="str">
        <f t="shared" si="2"/>
        <v/>
      </c>
      <c r="U255" s="38" t="str">
        <f t="shared" si="3"/>
        <v/>
      </c>
      <c r="V255" s="32" t="str">
        <f t="shared" si="4"/>
        <v/>
      </c>
      <c r="W255" s="39" t="str">
        <f>IFERROR(__xludf.DUMMYFUNCTION(" IF(Account!$F255&lt;&gt;"""", SPLIT(Account!$F255, "" ""), """")"),"")</f>
        <v/>
      </c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</row>
    <row r="256">
      <c r="A256" s="12"/>
      <c r="B256" s="12"/>
      <c r="C256" s="12"/>
      <c r="D256" s="12"/>
      <c r="E256" s="12"/>
      <c r="F256" s="13"/>
      <c r="G256" s="291"/>
      <c r="H256" s="12"/>
      <c r="I256" s="12"/>
      <c r="J256" s="12"/>
      <c r="K256" s="12"/>
      <c r="L256" s="13"/>
      <c r="M256" s="30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2" t="str">
        <f>IFERROR(__xludf.DUMMYFUNCTION("IF(Account!$F256&lt;&gt;"""", VALUE(REGEXREPLACE($I256, ""\,"", ""."")), """")"),"")</f>
        <v/>
      </c>
      <c r="O256" s="33" t="str">
        <f>IF(Account!$F256&lt;&gt;"", DATEVALUE(MID($A256,4,3) &amp; LEFT($A256,3) &amp; RIGHT($A256,4)) + TIMEVALUE($B256), "")</f>
        <v/>
      </c>
      <c r="P256" s="34" t="str">
        <f>IF(Account!$F256&lt;&gt;"", DATEVALUE(MID($C256,4,3) &amp; LEFT($C256,3) &amp; RIGHT($C256,4)), "")</f>
        <v/>
      </c>
      <c r="Q256" s="35" t="str">
        <f t="array" ref="Q256">IF($R256&lt;&gt;"",IFERROR(INDEX(ISIN!$B:$B,MATCH($R256,ISIN!$C:$C,0))),)</f>
        <v/>
      </c>
      <c r="R256" s="36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5" t="str">
        <f t="shared" si="1"/>
        <v/>
      </c>
      <c r="T256" s="37" t="str">
        <f t="shared" si="2"/>
        <v/>
      </c>
      <c r="U256" s="38" t="str">
        <f t="shared" si="3"/>
        <v/>
      </c>
      <c r="V256" s="32" t="str">
        <f t="shared" si="4"/>
        <v/>
      </c>
      <c r="W256" s="39" t="str">
        <f>IFERROR(__xludf.DUMMYFUNCTION(" IF(Account!$F256&lt;&gt;"""", SPLIT(Account!$F256, "" ""), """")"),"")</f>
        <v/>
      </c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</row>
    <row r="257">
      <c r="A257" s="12"/>
      <c r="B257" s="12"/>
      <c r="C257" s="12"/>
      <c r="D257" s="12"/>
      <c r="E257" s="12"/>
      <c r="F257" s="13"/>
      <c r="G257" s="12"/>
      <c r="H257" s="12"/>
      <c r="I257" s="12"/>
      <c r="J257" s="12"/>
      <c r="K257" s="12"/>
      <c r="L257" s="13"/>
      <c r="M257" s="30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2" t="str">
        <f>IFERROR(__xludf.DUMMYFUNCTION("IF(Account!$F257&lt;&gt;"""", VALUE(REGEXREPLACE($I257, ""\,"", ""."")), """")"),"")</f>
        <v/>
      </c>
      <c r="O257" s="33" t="str">
        <f>IF(Account!$F257&lt;&gt;"", DATEVALUE(MID($A257,4,3) &amp; LEFT($A257,3) &amp; RIGHT($A257,4)) + TIMEVALUE($B257), "")</f>
        <v/>
      </c>
      <c r="P257" s="34" t="str">
        <f>IF(Account!$F257&lt;&gt;"", DATEVALUE(MID($C257,4,3) &amp; LEFT($C257,3) &amp; RIGHT($C257,4)), "")</f>
        <v/>
      </c>
      <c r="Q257" s="35" t="str">
        <f t="array" ref="Q257">IF($R257&lt;&gt;"",IFERROR(INDEX(ISIN!$B:$B,MATCH($R257,ISIN!$C:$C,0))),)</f>
        <v/>
      </c>
      <c r="R257" s="36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5" t="str">
        <f t="shared" si="1"/>
        <v/>
      </c>
      <c r="T257" s="37" t="str">
        <f t="shared" si="2"/>
        <v/>
      </c>
      <c r="U257" s="38" t="str">
        <f t="shared" si="3"/>
        <v/>
      </c>
      <c r="V257" s="32" t="str">
        <f t="shared" si="4"/>
        <v/>
      </c>
      <c r="W257" s="39" t="str">
        <f>IFERROR(__xludf.DUMMYFUNCTION(" IF(Account!$F257&lt;&gt;"""", SPLIT(Account!$F257, "" ""), """")"),"")</f>
        <v/>
      </c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</row>
    <row r="258">
      <c r="A258" s="12"/>
      <c r="B258" s="12"/>
      <c r="C258" s="12"/>
      <c r="D258" s="12"/>
      <c r="E258" s="12"/>
      <c r="F258" s="13"/>
      <c r="G258" s="291"/>
      <c r="H258" s="12"/>
      <c r="I258" s="12"/>
      <c r="J258" s="12"/>
      <c r="K258" s="12"/>
      <c r="L258" s="13"/>
      <c r="M258" s="30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2" t="str">
        <f>IFERROR(__xludf.DUMMYFUNCTION("IF(Account!$F258&lt;&gt;"""", VALUE(REGEXREPLACE($I258, ""\,"", ""."")), """")"),"")</f>
        <v/>
      </c>
      <c r="O258" s="33" t="str">
        <f>IF(Account!$F258&lt;&gt;"", DATEVALUE(MID($A258,4,3) &amp; LEFT($A258,3) &amp; RIGHT($A258,4)) + TIMEVALUE($B258), "")</f>
        <v/>
      </c>
      <c r="P258" s="34" t="str">
        <f>IF(Account!$F258&lt;&gt;"", DATEVALUE(MID($C258,4,3) &amp; LEFT($C258,3) &amp; RIGHT($C258,4)), "")</f>
        <v/>
      </c>
      <c r="Q258" s="35" t="str">
        <f t="array" ref="Q258">IF($R258&lt;&gt;"",IFERROR(INDEX(ISIN!$B:$B,MATCH($R258,ISIN!$C:$C,0))),)</f>
        <v/>
      </c>
      <c r="R258" s="36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5" t="str">
        <f t="shared" si="1"/>
        <v/>
      </c>
      <c r="T258" s="37" t="str">
        <f t="shared" si="2"/>
        <v/>
      </c>
      <c r="U258" s="38" t="str">
        <f t="shared" si="3"/>
        <v/>
      </c>
      <c r="V258" s="32" t="str">
        <f t="shared" si="4"/>
        <v/>
      </c>
      <c r="W258" s="39" t="str">
        <f>IFERROR(__xludf.DUMMYFUNCTION(" IF(Account!$F258&lt;&gt;"""", SPLIT(Account!$F258, "" ""), """")"),"")</f>
        <v/>
      </c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</row>
    <row r="259">
      <c r="A259" s="12"/>
      <c r="B259" s="12"/>
      <c r="C259" s="12"/>
      <c r="D259" s="12"/>
      <c r="E259" s="12"/>
      <c r="F259" s="13"/>
      <c r="G259" s="291"/>
      <c r="H259" s="12"/>
      <c r="I259" s="12"/>
      <c r="J259" s="12"/>
      <c r="K259" s="12"/>
      <c r="L259" s="13"/>
      <c r="M259" s="30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2" t="str">
        <f>IFERROR(__xludf.DUMMYFUNCTION("IF(Account!$F259&lt;&gt;"""", VALUE(REGEXREPLACE($I259, ""\,"", ""."")), """")"),"")</f>
        <v/>
      </c>
      <c r="O259" s="33" t="str">
        <f>IF(Account!$F259&lt;&gt;"", DATEVALUE(MID($A259,4,3) &amp; LEFT($A259,3) &amp; RIGHT($A259,4)) + TIMEVALUE($B259), "")</f>
        <v/>
      </c>
      <c r="P259" s="34" t="str">
        <f>IF(Account!$F259&lt;&gt;"", DATEVALUE(MID($C259,4,3) &amp; LEFT($C259,3) &amp; RIGHT($C259,4)), "")</f>
        <v/>
      </c>
      <c r="Q259" s="35" t="str">
        <f t="array" ref="Q259">IF($R259&lt;&gt;"",IFERROR(INDEX(ISIN!$B:$B,MATCH($R259,ISIN!$C:$C,0))),)</f>
        <v/>
      </c>
      <c r="R259" s="36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5" t="str">
        <f t="shared" si="1"/>
        <v/>
      </c>
      <c r="T259" s="37" t="str">
        <f t="shared" si="2"/>
        <v/>
      </c>
      <c r="U259" s="38" t="str">
        <f t="shared" si="3"/>
        <v/>
      </c>
      <c r="V259" s="32" t="str">
        <f t="shared" si="4"/>
        <v/>
      </c>
      <c r="W259" s="39" t="str">
        <f>IFERROR(__xludf.DUMMYFUNCTION(" IF(Account!$F259&lt;&gt;"""", SPLIT(Account!$F259, "" ""), """")"),"")</f>
        <v/>
      </c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</row>
    <row r="260">
      <c r="A260" s="12"/>
      <c r="B260" s="12"/>
      <c r="C260" s="12"/>
      <c r="D260" s="12"/>
      <c r="E260" s="12"/>
      <c r="F260" s="13"/>
      <c r="G260" s="12"/>
      <c r="H260" s="12"/>
      <c r="I260" s="12"/>
      <c r="J260" s="12"/>
      <c r="K260" s="12"/>
      <c r="L260" s="13"/>
      <c r="M260" s="30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2" t="str">
        <f>IFERROR(__xludf.DUMMYFUNCTION("IF(Account!$F260&lt;&gt;"""", VALUE(REGEXREPLACE($I260, ""\,"", ""."")), """")"),"")</f>
        <v/>
      </c>
      <c r="O260" s="33" t="str">
        <f>IF(Account!$F260&lt;&gt;"", DATEVALUE(MID($A260,4,3) &amp; LEFT($A260,3) &amp; RIGHT($A260,4)) + TIMEVALUE($B260), "")</f>
        <v/>
      </c>
      <c r="P260" s="34" t="str">
        <f>IF(Account!$F260&lt;&gt;"", DATEVALUE(MID($C260,4,3) &amp; LEFT($C260,3) &amp; RIGHT($C260,4)), "")</f>
        <v/>
      </c>
      <c r="Q260" s="35" t="str">
        <f t="array" ref="Q260">IF($R260&lt;&gt;"",IFERROR(INDEX(ISIN!$B:$B,MATCH($R260,ISIN!$C:$C,0))),)</f>
        <v/>
      </c>
      <c r="R260" s="36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5" t="str">
        <f t="shared" si="1"/>
        <v/>
      </c>
      <c r="T260" s="37" t="str">
        <f t="shared" si="2"/>
        <v/>
      </c>
      <c r="U260" s="38" t="str">
        <f t="shared" si="3"/>
        <v/>
      </c>
      <c r="V260" s="32" t="str">
        <f t="shared" si="4"/>
        <v/>
      </c>
      <c r="W260" s="39" t="str">
        <f>IFERROR(__xludf.DUMMYFUNCTION(" IF(Account!$F260&lt;&gt;"""", SPLIT(Account!$F260, "" ""), """")"),"")</f>
        <v/>
      </c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</row>
    <row r="261">
      <c r="A261" s="12"/>
      <c r="B261" s="12"/>
      <c r="C261" s="12"/>
      <c r="D261" s="12"/>
      <c r="E261" s="12"/>
      <c r="F261" s="13"/>
      <c r="G261" s="291"/>
      <c r="H261" s="12"/>
      <c r="I261" s="12"/>
      <c r="J261" s="12"/>
      <c r="K261" s="12"/>
      <c r="L261" s="13"/>
      <c r="M261" s="30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2" t="str">
        <f>IFERROR(__xludf.DUMMYFUNCTION("IF(Account!$F261&lt;&gt;"""", VALUE(REGEXREPLACE($I261, ""\,"", ""."")), """")"),"")</f>
        <v/>
      </c>
      <c r="O261" s="33" t="str">
        <f>IF(Account!$F261&lt;&gt;"", DATEVALUE(MID($A261,4,3) &amp; LEFT($A261,3) &amp; RIGHT($A261,4)) + TIMEVALUE($B261), "")</f>
        <v/>
      </c>
      <c r="P261" s="34" t="str">
        <f>IF(Account!$F261&lt;&gt;"", DATEVALUE(MID($C261,4,3) &amp; LEFT($C261,3) &amp; RIGHT($C261,4)), "")</f>
        <v/>
      </c>
      <c r="Q261" s="35" t="str">
        <f t="array" ref="Q261">IF($R261&lt;&gt;"",IFERROR(INDEX(ISIN!$B:$B,MATCH($R261,ISIN!$C:$C,0))),)</f>
        <v/>
      </c>
      <c r="R261" s="36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5" t="str">
        <f t="shared" si="1"/>
        <v/>
      </c>
      <c r="T261" s="37" t="str">
        <f t="shared" si="2"/>
        <v/>
      </c>
      <c r="U261" s="38" t="str">
        <f t="shared" si="3"/>
        <v/>
      </c>
      <c r="V261" s="32" t="str">
        <f t="shared" si="4"/>
        <v/>
      </c>
      <c r="W261" s="39" t="str">
        <f>IFERROR(__xludf.DUMMYFUNCTION(" IF(Account!$F261&lt;&gt;"""", SPLIT(Account!$F261, "" ""), """")"),"")</f>
        <v/>
      </c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</row>
    <row r="262">
      <c r="A262" s="12"/>
      <c r="B262" s="12"/>
      <c r="C262" s="12"/>
      <c r="D262" s="12"/>
      <c r="E262" s="12"/>
      <c r="F262" s="13"/>
      <c r="G262" s="291"/>
      <c r="H262" s="12"/>
      <c r="I262" s="12"/>
      <c r="J262" s="12"/>
      <c r="K262" s="12"/>
      <c r="L262" s="13"/>
      <c r="M262" s="30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2" t="str">
        <f>IFERROR(__xludf.DUMMYFUNCTION("IF(Account!$F262&lt;&gt;"""", VALUE(REGEXREPLACE($I262, ""\,"", ""."")), """")"),"")</f>
        <v/>
      </c>
      <c r="O262" s="33" t="str">
        <f>IF(Account!$F262&lt;&gt;"", DATEVALUE(MID($A262,4,3) &amp; LEFT($A262,3) &amp; RIGHT($A262,4)) + TIMEVALUE($B262), "")</f>
        <v/>
      </c>
      <c r="P262" s="34" t="str">
        <f>IF(Account!$F262&lt;&gt;"", DATEVALUE(MID($C262,4,3) &amp; LEFT($C262,3) &amp; RIGHT($C262,4)), "")</f>
        <v/>
      </c>
      <c r="Q262" s="35" t="str">
        <f t="array" ref="Q262">IF($R262&lt;&gt;"",IFERROR(INDEX(ISIN!$B:$B,MATCH($R262,ISIN!$C:$C,0))),)</f>
        <v/>
      </c>
      <c r="R262" s="36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5" t="str">
        <f t="shared" si="1"/>
        <v/>
      </c>
      <c r="T262" s="37" t="str">
        <f t="shared" si="2"/>
        <v/>
      </c>
      <c r="U262" s="38" t="str">
        <f t="shared" si="3"/>
        <v/>
      </c>
      <c r="V262" s="32" t="str">
        <f t="shared" si="4"/>
        <v/>
      </c>
      <c r="W262" s="39" t="str">
        <f>IFERROR(__xludf.DUMMYFUNCTION(" IF(Account!$F262&lt;&gt;"""", SPLIT(Account!$F262, "" ""), """")"),"")</f>
        <v/>
      </c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</row>
    <row r="263">
      <c r="A263" s="12"/>
      <c r="B263" s="12"/>
      <c r="C263" s="12"/>
      <c r="D263" s="12"/>
      <c r="E263" s="12"/>
      <c r="F263" s="13"/>
      <c r="G263" s="291"/>
      <c r="H263" s="12"/>
      <c r="I263" s="12"/>
      <c r="J263" s="12"/>
      <c r="K263" s="12"/>
      <c r="L263" s="13"/>
      <c r="M263" s="30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2" t="str">
        <f>IFERROR(__xludf.DUMMYFUNCTION("IF(Account!$F263&lt;&gt;"""", VALUE(REGEXREPLACE($I263, ""\,"", ""."")), """")"),"")</f>
        <v/>
      </c>
      <c r="O263" s="33" t="str">
        <f>IF(Account!$F263&lt;&gt;"", DATEVALUE(MID($A263,4,3) &amp; LEFT($A263,3) &amp; RIGHT($A263,4)) + TIMEVALUE($B263), "")</f>
        <v/>
      </c>
      <c r="P263" s="34" t="str">
        <f>IF(Account!$F263&lt;&gt;"", DATEVALUE(MID($C263,4,3) &amp; LEFT($C263,3) &amp; RIGHT($C263,4)), "")</f>
        <v/>
      </c>
      <c r="Q263" s="35" t="str">
        <f t="array" ref="Q263">IF($R263&lt;&gt;"",IFERROR(INDEX(ISIN!$B:$B,MATCH($R263,ISIN!$C:$C,0))),)</f>
        <v/>
      </c>
      <c r="R263" s="36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5" t="str">
        <f t="shared" si="1"/>
        <v/>
      </c>
      <c r="T263" s="37" t="str">
        <f t="shared" si="2"/>
        <v/>
      </c>
      <c r="U263" s="38" t="str">
        <f t="shared" si="3"/>
        <v/>
      </c>
      <c r="V263" s="32" t="str">
        <f t="shared" si="4"/>
        <v/>
      </c>
      <c r="W263" s="39" t="str">
        <f>IFERROR(__xludf.DUMMYFUNCTION(" IF(Account!$F263&lt;&gt;"""", SPLIT(Account!$F263, "" ""), """")"),"")</f>
        <v/>
      </c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</row>
    <row r="264">
      <c r="A264" s="12"/>
      <c r="B264" s="12"/>
      <c r="C264" s="12"/>
      <c r="D264" s="12"/>
      <c r="E264" s="12"/>
      <c r="F264" s="13"/>
      <c r="G264" s="12"/>
      <c r="H264" s="12"/>
      <c r="I264" s="12"/>
      <c r="J264" s="12"/>
      <c r="K264" s="12"/>
      <c r="L264" s="13"/>
      <c r="M264" s="30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2" t="str">
        <f>IFERROR(__xludf.DUMMYFUNCTION("IF(Account!$F264&lt;&gt;"""", VALUE(REGEXREPLACE($I264, ""\,"", ""."")), """")"),"")</f>
        <v/>
      </c>
      <c r="O264" s="33" t="str">
        <f>IF(Account!$F264&lt;&gt;"", DATEVALUE(MID($A264,4,3) &amp; LEFT($A264,3) &amp; RIGHT($A264,4)) + TIMEVALUE($B264), "")</f>
        <v/>
      </c>
      <c r="P264" s="34" t="str">
        <f>IF(Account!$F264&lt;&gt;"", DATEVALUE(MID($C264,4,3) &amp; LEFT($C264,3) &amp; RIGHT($C264,4)), "")</f>
        <v/>
      </c>
      <c r="Q264" s="35" t="str">
        <f t="array" ref="Q264">IF($R264&lt;&gt;"",IFERROR(INDEX(ISIN!$B:$B,MATCH($R264,ISIN!$C:$C,0))),)</f>
        <v/>
      </c>
      <c r="R264" s="36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5" t="str">
        <f t="shared" si="1"/>
        <v/>
      </c>
      <c r="T264" s="37" t="str">
        <f t="shared" si="2"/>
        <v/>
      </c>
      <c r="U264" s="38" t="str">
        <f t="shared" si="3"/>
        <v/>
      </c>
      <c r="V264" s="32" t="str">
        <f t="shared" si="4"/>
        <v/>
      </c>
      <c r="W264" s="39" t="str">
        <f>IFERROR(__xludf.DUMMYFUNCTION(" IF(Account!$F264&lt;&gt;"""", SPLIT(Account!$F264, "" ""), """")"),"")</f>
        <v/>
      </c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</row>
    <row r="265">
      <c r="A265" s="12"/>
      <c r="B265" s="12"/>
      <c r="C265" s="12"/>
      <c r="D265" s="12"/>
      <c r="E265" s="12"/>
      <c r="F265" s="13"/>
      <c r="G265" s="12"/>
      <c r="H265" s="12"/>
      <c r="I265" s="12"/>
      <c r="J265" s="12"/>
      <c r="K265" s="12"/>
      <c r="L265" s="13"/>
      <c r="M265" s="30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2" t="str">
        <f>IFERROR(__xludf.DUMMYFUNCTION("IF(Account!$F265&lt;&gt;"""", VALUE(REGEXREPLACE($I265, ""\,"", ""."")), """")"),"")</f>
        <v/>
      </c>
      <c r="O265" s="33" t="str">
        <f>IF(Account!$F265&lt;&gt;"", DATEVALUE(MID($A265,4,3) &amp; LEFT($A265,3) &amp; RIGHT($A265,4)) + TIMEVALUE($B265), "")</f>
        <v/>
      </c>
      <c r="P265" s="34" t="str">
        <f>IF(Account!$F265&lt;&gt;"", DATEVALUE(MID($C265,4,3) &amp; LEFT($C265,3) &amp; RIGHT($C265,4)), "")</f>
        <v/>
      </c>
      <c r="Q265" s="35" t="str">
        <f t="array" ref="Q265">IF($R265&lt;&gt;"",IFERROR(INDEX(ISIN!$B:$B,MATCH($R265,ISIN!$C:$C,0))),)</f>
        <v/>
      </c>
      <c r="R265" s="36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5" t="str">
        <f t="shared" si="1"/>
        <v/>
      </c>
      <c r="T265" s="37" t="str">
        <f t="shared" si="2"/>
        <v/>
      </c>
      <c r="U265" s="38" t="str">
        <f t="shared" si="3"/>
        <v/>
      </c>
      <c r="V265" s="32" t="str">
        <f t="shared" si="4"/>
        <v/>
      </c>
      <c r="W265" s="39" t="str">
        <f>IFERROR(__xludf.DUMMYFUNCTION(" IF(Account!$F265&lt;&gt;"""", SPLIT(Account!$F265, "" ""), """")"),"")</f>
        <v/>
      </c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</row>
    <row r="266">
      <c r="A266" s="12"/>
      <c r="B266" s="12"/>
      <c r="C266" s="12"/>
      <c r="D266" s="12"/>
      <c r="E266" s="12"/>
      <c r="F266" s="13"/>
      <c r="G266" s="291"/>
      <c r="H266" s="12"/>
      <c r="I266" s="12"/>
      <c r="J266" s="12"/>
      <c r="K266" s="12"/>
      <c r="L266" s="13"/>
      <c r="M266" s="30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2" t="str">
        <f>IFERROR(__xludf.DUMMYFUNCTION("IF(Account!$F266&lt;&gt;"""", VALUE(REGEXREPLACE($I266, ""\,"", ""."")), """")"),"")</f>
        <v/>
      </c>
      <c r="O266" s="33" t="str">
        <f>IF(Account!$F266&lt;&gt;"", DATEVALUE(MID($A266,4,3) &amp; LEFT($A266,3) &amp; RIGHT($A266,4)) + TIMEVALUE($B266), "")</f>
        <v/>
      </c>
      <c r="P266" s="34" t="str">
        <f>IF(Account!$F266&lt;&gt;"", DATEVALUE(MID($C266,4,3) &amp; LEFT($C266,3) &amp; RIGHT($C266,4)), "")</f>
        <v/>
      </c>
      <c r="Q266" s="35" t="str">
        <f t="array" ref="Q266">IF($R266&lt;&gt;"",IFERROR(INDEX(ISIN!$B:$B,MATCH($R266,ISIN!$C:$C,0))),)</f>
        <v/>
      </c>
      <c r="R266" s="36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5" t="str">
        <f t="shared" si="1"/>
        <v/>
      </c>
      <c r="T266" s="37" t="str">
        <f t="shared" si="2"/>
        <v/>
      </c>
      <c r="U266" s="38" t="str">
        <f t="shared" si="3"/>
        <v/>
      </c>
      <c r="V266" s="32" t="str">
        <f t="shared" si="4"/>
        <v/>
      </c>
      <c r="W266" s="39" t="str">
        <f>IFERROR(__xludf.DUMMYFUNCTION(" IF(Account!$F266&lt;&gt;"""", SPLIT(Account!$F266, "" ""), """")"),"")</f>
        <v/>
      </c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</row>
    <row r="267">
      <c r="A267" s="12"/>
      <c r="B267" s="12"/>
      <c r="C267" s="12"/>
      <c r="D267" s="12"/>
      <c r="E267" s="12"/>
      <c r="F267" s="13"/>
      <c r="G267" s="291"/>
      <c r="H267" s="12"/>
      <c r="I267" s="12"/>
      <c r="J267" s="12"/>
      <c r="K267" s="12"/>
      <c r="L267" s="13"/>
      <c r="M267" s="30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2" t="str">
        <f>IFERROR(__xludf.DUMMYFUNCTION("IF(Account!$F267&lt;&gt;"""", VALUE(REGEXREPLACE($I267, ""\,"", ""."")), """")"),"")</f>
        <v/>
      </c>
      <c r="O267" s="33" t="str">
        <f>IF(Account!$F267&lt;&gt;"", DATEVALUE(MID($A267,4,3) &amp; LEFT($A267,3) &amp; RIGHT($A267,4)) + TIMEVALUE($B267), "")</f>
        <v/>
      </c>
      <c r="P267" s="34" t="str">
        <f>IF(Account!$F267&lt;&gt;"", DATEVALUE(MID($C267,4,3) &amp; LEFT($C267,3) &amp; RIGHT($C267,4)), "")</f>
        <v/>
      </c>
      <c r="Q267" s="35" t="str">
        <f t="array" ref="Q267">IF($R267&lt;&gt;"",IFERROR(INDEX(ISIN!$B:$B,MATCH($R267,ISIN!$C:$C,0))),)</f>
        <v/>
      </c>
      <c r="R267" s="36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5" t="str">
        <f t="shared" si="1"/>
        <v/>
      </c>
      <c r="T267" s="37" t="str">
        <f t="shared" si="2"/>
        <v/>
      </c>
      <c r="U267" s="38" t="str">
        <f t="shared" si="3"/>
        <v/>
      </c>
      <c r="V267" s="32" t="str">
        <f t="shared" si="4"/>
        <v/>
      </c>
      <c r="W267" s="39" t="str">
        <f>IFERROR(__xludf.DUMMYFUNCTION(" IF(Account!$F267&lt;&gt;"""", SPLIT(Account!$F267, "" ""), """")"),"")</f>
        <v/>
      </c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</row>
    <row r="268">
      <c r="A268" s="12"/>
      <c r="B268" s="12"/>
      <c r="C268" s="12"/>
      <c r="D268" s="12"/>
      <c r="E268" s="12"/>
      <c r="F268" s="13"/>
      <c r="G268" s="12"/>
      <c r="H268" s="12"/>
      <c r="I268" s="12"/>
      <c r="J268" s="12"/>
      <c r="K268" s="12"/>
      <c r="L268" s="13"/>
      <c r="M268" s="30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2" t="str">
        <f>IFERROR(__xludf.DUMMYFUNCTION("IF(Account!$F268&lt;&gt;"""", VALUE(REGEXREPLACE($I268, ""\,"", ""."")), """")"),"")</f>
        <v/>
      </c>
      <c r="O268" s="33" t="str">
        <f>IF(Account!$F268&lt;&gt;"", DATEVALUE(MID($A268,4,3) &amp; LEFT($A268,3) &amp; RIGHT($A268,4)) + TIMEVALUE($B268), "")</f>
        <v/>
      </c>
      <c r="P268" s="34" t="str">
        <f>IF(Account!$F268&lt;&gt;"", DATEVALUE(MID($C268,4,3) &amp; LEFT($C268,3) &amp; RIGHT($C268,4)), "")</f>
        <v/>
      </c>
      <c r="Q268" s="35" t="str">
        <f t="array" ref="Q268">IF($R268&lt;&gt;"",IFERROR(INDEX(ISIN!$B:$B,MATCH($R268,ISIN!$C:$C,0))),)</f>
        <v/>
      </c>
      <c r="R268" s="36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5" t="str">
        <f t="shared" si="1"/>
        <v/>
      </c>
      <c r="T268" s="37" t="str">
        <f t="shared" si="2"/>
        <v/>
      </c>
      <c r="U268" s="38" t="str">
        <f t="shared" si="3"/>
        <v/>
      </c>
      <c r="V268" s="32" t="str">
        <f t="shared" si="4"/>
        <v/>
      </c>
      <c r="W268" s="39" t="str">
        <f>IFERROR(__xludf.DUMMYFUNCTION(" IF(Account!$F268&lt;&gt;"""", SPLIT(Account!$F268, "" ""), """")"),"")</f>
        <v/>
      </c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</row>
    <row r="269">
      <c r="A269" s="12"/>
      <c r="B269" s="12"/>
      <c r="C269" s="12"/>
      <c r="D269" s="12"/>
      <c r="E269" s="12"/>
      <c r="F269" s="13"/>
      <c r="G269" s="291"/>
      <c r="H269" s="12"/>
      <c r="I269" s="12"/>
      <c r="J269" s="12"/>
      <c r="K269" s="12"/>
      <c r="L269" s="13"/>
      <c r="M269" s="30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2" t="str">
        <f>IFERROR(__xludf.DUMMYFUNCTION("IF(Account!$F269&lt;&gt;"""", VALUE(REGEXREPLACE($I269, ""\,"", ""."")), """")"),"")</f>
        <v/>
      </c>
      <c r="O269" s="33" t="str">
        <f>IF(Account!$F269&lt;&gt;"", DATEVALUE(MID($A269,4,3) &amp; LEFT($A269,3) &amp; RIGHT($A269,4)) + TIMEVALUE($B269), "")</f>
        <v/>
      </c>
      <c r="P269" s="34" t="str">
        <f>IF(Account!$F269&lt;&gt;"", DATEVALUE(MID($C269,4,3) &amp; LEFT($C269,3) &amp; RIGHT($C269,4)), "")</f>
        <v/>
      </c>
      <c r="Q269" s="35" t="str">
        <f t="array" ref="Q269">IF($R269&lt;&gt;"",IFERROR(INDEX(ISIN!$B:$B,MATCH($R269,ISIN!$C:$C,0))),)</f>
        <v/>
      </c>
      <c r="R269" s="36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5" t="str">
        <f t="shared" si="1"/>
        <v/>
      </c>
      <c r="T269" s="37" t="str">
        <f t="shared" si="2"/>
        <v/>
      </c>
      <c r="U269" s="38" t="str">
        <f t="shared" si="3"/>
        <v/>
      </c>
      <c r="V269" s="32" t="str">
        <f t="shared" si="4"/>
        <v/>
      </c>
      <c r="W269" s="39" t="str">
        <f>IFERROR(__xludf.DUMMYFUNCTION(" IF(Account!$F269&lt;&gt;"""", SPLIT(Account!$F269, "" ""), """")"),"")</f>
        <v/>
      </c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</row>
    <row r="270">
      <c r="A270" s="12"/>
      <c r="B270" s="12"/>
      <c r="C270" s="12"/>
      <c r="D270" s="12"/>
      <c r="E270" s="12"/>
      <c r="F270" s="13"/>
      <c r="G270" s="12"/>
      <c r="H270" s="12"/>
      <c r="I270" s="12"/>
      <c r="J270" s="12"/>
      <c r="K270" s="12"/>
      <c r="L270" s="13"/>
      <c r="M270" s="30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2" t="str">
        <f>IFERROR(__xludf.DUMMYFUNCTION("IF(Account!$F270&lt;&gt;"""", VALUE(REGEXREPLACE($I270, ""\,"", ""."")), """")"),"")</f>
        <v/>
      </c>
      <c r="O270" s="33" t="str">
        <f>IF(Account!$F270&lt;&gt;"", DATEVALUE(MID($A270,4,3) &amp; LEFT($A270,3) &amp; RIGHT($A270,4)) + TIMEVALUE($B270), "")</f>
        <v/>
      </c>
      <c r="P270" s="34" t="str">
        <f>IF(Account!$F270&lt;&gt;"", DATEVALUE(MID($C270,4,3) &amp; LEFT($C270,3) &amp; RIGHT($C270,4)), "")</f>
        <v/>
      </c>
      <c r="Q270" s="35" t="str">
        <f t="array" ref="Q270">IF($R270&lt;&gt;"",IFERROR(INDEX(ISIN!$B:$B,MATCH($R270,ISIN!$C:$C,0))),)</f>
        <v/>
      </c>
      <c r="R270" s="36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5" t="str">
        <f t="shared" si="1"/>
        <v/>
      </c>
      <c r="T270" s="37" t="str">
        <f t="shared" si="2"/>
        <v/>
      </c>
      <c r="U270" s="38" t="str">
        <f t="shared" si="3"/>
        <v/>
      </c>
      <c r="V270" s="32" t="str">
        <f t="shared" si="4"/>
        <v/>
      </c>
      <c r="W270" s="39" t="str">
        <f>IFERROR(__xludf.DUMMYFUNCTION(" IF(Account!$F270&lt;&gt;"""", SPLIT(Account!$F270, "" ""), """")"),"")</f>
        <v/>
      </c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</row>
    <row r="271">
      <c r="A271" s="12"/>
      <c r="B271" s="12"/>
      <c r="C271" s="12"/>
      <c r="D271" s="12"/>
      <c r="E271" s="12"/>
      <c r="F271" s="13"/>
      <c r="G271" s="12"/>
      <c r="H271" s="12"/>
      <c r="I271" s="12"/>
      <c r="J271" s="12"/>
      <c r="K271" s="12"/>
      <c r="L271" s="13"/>
      <c r="M271" s="30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2" t="str">
        <f>IFERROR(__xludf.DUMMYFUNCTION("IF(Account!$F271&lt;&gt;"""", VALUE(REGEXREPLACE($I271, ""\,"", ""."")), """")"),"")</f>
        <v/>
      </c>
      <c r="O271" s="33" t="str">
        <f>IF(Account!$F271&lt;&gt;"", DATEVALUE(MID($A271,4,3) &amp; LEFT($A271,3) &amp; RIGHT($A271,4)) + TIMEVALUE($B271), "")</f>
        <v/>
      </c>
      <c r="P271" s="34" t="str">
        <f>IF(Account!$F271&lt;&gt;"", DATEVALUE(MID($C271,4,3) &amp; LEFT($C271,3) &amp; RIGHT($C271,4)), "")</f>
        <v/>
      </c>
      <c r="Q271" s="35" t="str">
        <f t="array" ref="Q271">IF($R271&lt;&gt;"",IFERROR(INDEX(ISIN!$B:$B,MATCH($R271,ISIN!$C:$C,0))),)</f>
        <v/>
      </c>
      <c r="R271" s="36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5" t="str">
        <f t="shared" si="1"/>
        <v/>
      </c>
      <c r="T271" s="37" t="str">
        <f t="shared" si="2"/>
        <v/>
      </c>
      <c r="U271" s="38" t="str">
        <f t="shared" si="3"/>
        <v/>
      </c>
      <c r="V271" s="32" t="str">
        <f t="shared" si="4"/>
        <v/>
      </c>
      <c r="W271" s="39" t="str">
        <f>IFERROR(__xludf.DUMMYFUNCTION(" IF(Account!$F271&lt;&gt;"""", SPLIT(Account!$F271, "" ""), """")"),"")</f>
        <v/>
      </c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</row>
    <row r="272">
      <c r="A272" s="12"/>
      <c r="B272" s="12"/>
      <c r="C272" s="12"/>
      <c r="D272" s="12"/>
      <c r="E272" s="12"/>
      <c r="F272" s="13"/>
      <c r="G272" s="291"/>
      <c r="H272" s="12"/>
      <c r="I272" s="12"/>
      <c r="J272" s="12"/>
      <c r="K272" s="12"/>
      <c r="L272" s="13"/>
      <c r="M272" s="30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2" t="str">
        <f>IFERROR(__xludf.DUMMYFUNCTION("IF(Account!$F272&lt;&gt;"""", VALUE(REGEXREPLACE($I272, ""\,"", ""."")), """")"),"")</f>
        <v/>
      </c>
      <c r="O272" s="33" t="str">
        <f>IF(Account!$F272&lt;&gt;"", DATEVALUE(MID($A272,4,3) &amp; LEFT($A272,3) &amp; RIGHT($A272,4)) + TIMEVALUE($B272), "")</f>
        <v/>
      </c>
      <c r="P272" s="34" t="str">
        <f>IF(Account!$F272&lt;&gt;"", DATEVALUE(MID($C272,4,3) &amp; LEFT($C272,3) &amp; RIGHT($C272,4)), "")</f>
        <v/>
      </c>
      <c r="Q272" s="35" t="str">
        <f t="array" ref="Q272">IF($R272&lt;&gt;"",IFERROR(INDEX(ISIN!$B:$B,MATCH($R272,ISIN!$C:$C,0))),)</f>
        <v/>
      </c>
      <c r="R272" s="36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5" t="str">
        <f t="shared" si="1"/>
        <v/>
      </c>
      <c r="T272" s="37" t="str">
        <f t="shared" si="2"/>
        <v/>
      </c>
      <c r="U272" s="38" t="str">
        <f t="shared" si="3"/>
        <v/>
      </c>
      <c r="V272" s="32" t="str">
        <f t="shared" si="4"/>
        <v/>
      </c>
      <c r="W272" s="39" t="str">
        <f>IFERROR(__xludf.DUMMYFUNCTION(" IF(Account!$F272&lt;&gt;"""", SPLIT(Account!$F272, "" ""), """")"),"")</f>
        <v/>
      </c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</row>
    <row r="273">
      <c r="A273" s="12"/>
      <c r="B273" s="12"/>
      <c r="C273" s="12"/>
      <c r="D273" s="12"/>
      <c r="E273" s="12"/>
      <c r="F273" s="13"/>
      <c r="G273" s="291"/>
      <c r="H273" s="12"/>
      <c r="I273" s="12"/>
      <c r="J273" s="12"/>
      <c r="K273" s="12"/>
      <c r="L273" s="13"/>
      <c r="M273" s="30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2" t="str">
        <f>IFERROR(__xludf.DUMMYFUNCTION("IF(Account!$F273&lt;&gt;"""", VALUE(REGEXREPLACE($I273, ""\,"", ""."")), """")"),"")</f>
        <v/>
      </c>
      <c r="O273" s="33" t="str">
        <f>IF(Account!$F273&lt;&gt;"", DATEVALUE(MID($A273,4,3) &amp; LEFT($A273,3) &amp; RIGHT($A273,4)) + TIMEVALUE($B273), "")</f>
        <v/>
      </c>
      <c r="P273" s="34" t="str">
        <f>IF(Account!$F273&lt;&gt;"", DATEVALUE(MID($C273,4,3) &amp; LEFT($C273,3) &amp; RIGHT($C273,4)), "")</f>
        <v/>
      </c>
      <c r="Q273" s="35" t="str">
        <f t="array" ref="Q273">IF($R273&lt;&gt;"",IFERROR(INDEX(ISIN!$B:$B,MATCH($R273,ISIN!$C:$C,0))),)</f>
        <v/>
      </c>
      <c r="R273" s="36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5" t="str">
        <f t="shared" si="1"/>
        <v/>
      </c>
      <c r="T273" s="37" t="str">
        <f t="shared" si="2"/>
        <v/>
      </c>
      <c r="U273" s="38" t="str">
        <f t="shared" si="3"/>
        <v/>
      </c>
      <c r="V273" s="32" t="str">
        <f t="shared" si="4"/>
        <v/>
      </c>
      <c r="W273" s="39" t="str">
        <f>IFERROR(__xludf.DUMMYFUNCTION(" IF(Account!$F273&lt;&gt;"""", SPLIT(Account!$F273, "" ""), """")"),"")</f>
        <v/>
      </c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</row>
    <row r="274">
      <c r="A274" s="12"/>
      <c r="B274" s="12"/>
      <c r="C274" s="12"/>
      <c r="D274" s="12"/>
      <c r="E274" s="12"/>
      <c r="F274" s="13"/>
      <c r="G274" s="291"/>
      <c r="H274" s="12"/>
      <c r="I274" s="12"/>
      <c r="J274" s="12"/>
      <c r="K274" s="12"/>
      <c r="L274" s="13"/>
      <c r="M274" s="30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2" t="str">
        <f>IFERROR(__xludf.DUMMYFUNCTION("IF(Account!$F274&lt;&gt;"""", VALUE(REGEXREPLACE($I274, ""\,"", ""."")), """")"),"")</f>
        <v/>
      </c>
      <c r="O274" s="33" t="str">
        <f>IF(Account!$F274&lt;&gt;"", DATEVALUE(MID($A274,4,3) &amp; LEFT($A274,3) &amp; RIGHT($A274,4)) + TIMEVALUE($B274), "")</f>
        <v/>
      </c>
      <c r="P274" s="34" t="str">
        <f>IF(Account!$F274&lt;&gt;"", DATEVALUE(MID($C274,4,3) &amp; LEFT($C274,3) &amp; RIGHT($C274,4)), "")</f>
        <v/>
      </c>
      <c r="Q274" s="35" t="str">
        <f t="array" ref="Q274">IF($R274&lt;&gt;"",IFERROR(INDEX(ISIN!$B:$B,MATCH($R274,ISIN!$C:$C,0))),)</f>
        <v/>
      </c>
      <c r="R274" s="36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5" t="str">
        <f t="shared" si="1"/>
        <v/>
      </c>
      <c r="T274" s="37" t="str">
        <f t="shared" si="2"/>
        <v/>
      </c>
      <c r="U274" s="38" t="str">
        <f t="shared" si="3"/>
        <v/>
      </c>
      <c r="V274" s="32" t="str">
        <f t="shared" si="4"/>
        <v/>
      </c>
      <c r="W274" s="39" t="str">
        <f>IFERROR(__xludf.DUMMYFUNCTION(" IF(Account!$F274&lt;&gt;"""", SPLIT(Account!$F274, "" ""), """")"),"")</f>
        <v/>
      </c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</row>
    <row r="275">
      <c r="A275" s="12"/>
      <c r="B275" s="12"/>
      <c r="C275" s="12"/>
      <c r="D275" s="12"/>
      <c r="E275" s="12"/>
      <c r="F275" s="13"/>
      <c r="G275" s="12"/>
      <c r="H275" s="12"/>
      <c r="I275" s="12"/>
      <c r="J275" s="12"/>
      <c r="K275" s="12"/>
      <c r="L275" s="13"/>
      <c r="M275" s="30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2" t="str">
        <f>IFERROR(__xludf.DUMMYFUNCTION("IF(Account!$F275&lt;&gt;"""", VALUE(REGEXREPLACE($I275, ""\,"", ""."")), """")"),"")</f>
        <v/>
      </c>
      <c r="O275" s="33" t="str">
        <f>IF(Account!$F275&lt;&gt;"", DATEVALUE(MID($A275,4,3) &amp; LEFT($A275,3) &amp; RIGHT($A275,4)) + TIMEVALUE($B275), "")</f>
        <v/>
      </c>
      <c r="P275" s="34" t="str">
        <f>IF(Account!$F275&lt;&gt;"", DATEVALUE(MID($C275,4,3) &amp; LEFT($C275,3) &amp; RIGHT($C275,4)), "")</f>
        <v/>
      </c>
      <c r="Q275" s="35" t="str">
        <f t="array" ref="Q275">IF($R275&lt;&gt;"",IFERROR(INDEX(ISIN!$B:$B,MATCH($R275,ISIN!$C:$C,0))),)</f>
        <v/>
      </c>
      <c r="R275" s="36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5" t="str">
        <f t="shared" si="1"/>
        <v/>
      </c>
      <c r="T275" s="37" t="str">
        <f t="shared" si="2"/>
        <v/>
      </c>
      <c r="U275" s="38" t="str">
        <f t="shared" si="3"/>
        <v/>
      </c>
      <c r="V275" s="32" t="str">
        <f t="shared" si="4"/>
        <v/>
      </c>
      <c r="W275" s="39" t="str">
        <f>IFERROR(__xludf.DUMMYFUNCTION(" IF(Account!$F275&lt;&gt;"""", SPLIT(Account!$F275, "" ""), """")"),"")</f>
        <v/>
      </c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</row>
    <row r="276">
      <c r="A276" s="12"/>
      <c r="B276" s="12"/>
      <c r="C276" s="12"/>
      <c r="D276" s="12"/>
      <c r="E276" s="12"/>
      <c r="F276" s="13"/>
      <c r="G276" s="291"/>
      <c r="H276" s="12"/>
      <c r="I276" s="12"/>
      <c r="J276" s="12"/>
      <c r="K276" s="12"/>
      <c r="L276" s="13"/>
      <c r="M276" s="30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2" t="str">
        <f>IFERROR(__xludf.DUMMYFUNCTION("IF(Account!$F276&lt;&gt;"""", VALUE(REGEXREPLACE($I276, ""\,"", ""."")), """")"),"")</f>
        <v/>
      </c>
      <c r="O276" s="33" t="str">
        <f>IF(Account!$F276&lt;&gt;"", DATEVALUE(MID($A276,4,3) &amp; LEFT($A276,3) &amp; RIGHT($A276,4)) + TIMEVALUE($B276), "")</f>
        <v/>
      </c>
      <c r="P276" s="34" t="str">
        <f>IF(Account!$F276&lt;&gt;"", DATEVALUE(MID($C276,4,3) &amp; LEFT($C276,3) &amp; RIGHT($C276,4)), "")</f>
        <v/>
      </c>
      <c r="Q276" s="35" t="str">
        <f t="array" ref="Q276">IF($R276&lt;&gt;"",IFERROR(INDEX(ISIN!$B:$B,MATCH($R276,ISIN!$C:$C,0))),)</f>
        <v/>
      </c>
      <c r="R276" s="36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5" t="str">
        <f t="shared" si="1"/>
        <v/>
      </c>
      <c r="T276" s="37" t="str">
        <f t="shared" si="2"/>
        <v/>
      </c>
      <c r="U276" s="38" t="str">
        <f t="shared" si="3"/>
        <v/>
      </c>
      <c r="V276" s="32" t="str">
        <f t="shared" si="4"/>
        <v/>
      </c>
      <c r="W276" s="39" t="str">
        <f>IFERROR(__xludf.DUMMYFUNCTION(" IF(Account!$F276&lt;&gt;"""", SPLIT(Account!$F276, "" ""), """")"),"")</f>
        <v/>
      </c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</row>
    <row r="277">
      <c r="A277" s="12"/>
      <c r="B277" s="12"/>
      <c r="C277" s="12"/>
      <c r="D277" s="12"/>
      <c r="E277" s="12"/>
      <c r="F277" s="13"/>
      <c r="G277" s="12"/>
      <c r="H277" s="12"/>
      <c r="I277" s="12"/>
      <c r="J277" s="12"/>
      <c r="K277" s="12"/>
      <c r="L277" s="13"/>
      <c r="M277" s="30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2" t="str">
        <f>IFERROR(__xludf.DUMMYFUNCTION("IF(Account!$F277&lt;&gt;"""", VALUE(REGEXREPLACE($I277, ""\,"", ""."")), """")"),"")</f>
        <v/>
      </c>
      <c r="O277" s="33" t="str">
        <f>IF(Account!$F277&lt;&gt;"", DATEVALUE(MID($A277,4,3) &amp; LEFT($A277,3) &amp; RIGHT($A277,4)) + TIMEVALUE($B277), "")</f>
        <v/>
      </c>
      <c r="P277" s="34" t="str">
        <f>IF(Account!$F277&lt;&gt;"", DATEVALUE(MID($C277,4,3) &amp; LEFT($C277,3) &amp; RIGHT($C277,4)), "")</f>
        <v/>
      </c>
      <c r="Q277" s="35" t="str">
        <f t="array" ref="Q277">IF($R277&lt;&gt;"",IFERROR(INDEX(ISIN!$B:$B,MATCH($R277,ISIN!$C:$C,0))),)</f>
        <v/>
      </c>
      <c r="R277" s="36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5" t="str">
        <f t="shared" si="1"/>
        <v/>
      </c>
      <c r="T277" s="37" t="str">
        <f t="shared" si="2"/>
        <v/>
      </c>
      <c r="U277" s="38" t="str">
        <f t="shared" si="3"/>
        <v/>
      </c>
      <c r="V277" s="32" t="str">
        <f t="shared" si="4"/>
        <v/>
      </c>
      <c r="W277" s="39" t="str">
        <f>IFERROR(__xludf.DUMMYFUNCTION(" IF(Account!$F277&lt;&gt;"""", SPLIT(Account!$F277, "" ""), """")"),"")</f>
        <v/>
      </c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</row>
    <row r="278">
      <c r="A278" s="12"/>
      <c r="B278" s="12"/>
      <c r="C278" s="12"/>
      <c r="D278" s="12"/>
      <c r="E278" s="12"/>
      <c r="F278" s="13"/>
      <c r="G278" s="12"/>
      <c r="H278" s="12"/>
      <c r="I278" s="12"/>
      <c r="J278" s="12"/>
      <c r="K278" s="12"/>
      <c r="L278" s="13"/>
      <c r="M278" s="30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2" t="str">
        <f>IFERROR(__xludf.DUMMYFUNCTION("IF(Account!$F278&lt;&gt;"""", VALUE(REGEXREPLACE($I278, ""\,"", ""."")), """")"),"")</f>
        <v/>
      </c>
      <c r="O278" s="33" t="str">
        <f>IF(Account!$F278&lt;&gt;"", DATEVALUE(MID($A278,4,3) &amp; LEFT($A278,3) &amp; RIGHT($A278,4)) + TIMEVALUE($B278), "")</f>
        <v/>
      </c>
      <c r="P278" s="34" t="str">
        <f>IF(Account!$F278&lt;&gt;"", DATEVALUE(MID($C278,4,3) &amp; LEFT($C278,3) &amp; RIGHT($C278,4)), "")</f>
        <v/>
      </c>
      <c r="Q278" s="35" t="str">
        <f t="array" ref="Q278">IF($R278&lt;&gt;"",IFERROR(INDEX(ISIN!$B:$B,MATCH($R278,ISIN!$C:$C,0))),)</f>
        <v/>
      </c>
      <c r="R278" s="36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5" t="str">
        <f t="shared" si="1"/>
        <v/>
      </c>
      <c r="T278" s="37" t="str">
        <f t="shared" si="2"/>
        <v/>
      </c>
      <c r="U278" s="38" t="str">
        <f t="shared" si="3"/>
        <v/>
      </c>
      <c r="V278" s="32" t="str">
        <f t="shared" si="4"/>
        <v/>
      </c>
      <c r="W278" s="39" t="str">
        <f>IFERROR(__xludf.DUMMYFUNCTION(" IF(Account!$F278&lt;&gt;"""", SPLIT(Account!$F278, "" ""), """")"),"")</f>
        <v/>
      </c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</row>
    <row r="279">
      <c r="A279" s="12"/>
      <c r="B279" s="12"/>
      <c r="C279" s="12"/>
      <c r="D279" s="12"/>
      <c r="E279" s="12"/>
      <c r="F279" s="13"/>
      <c r="G279" s="12"/>
      <c r="H279" s="12"/>
      <c r="I279" s="12"/>
      <c r="J279" s="12"/>
      <c r="K279" s="12"/>
      <c r="L279" s="13"/>
      <c r="M279" s="30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2" t="str">
        <f>IFERROR(__xludf.DUMMYFUNCTION("IF(Account!$F279&lt;&gt;"""", VALUE(REGEXREPLACE($I279, ""\,"", ""."")), """")"),"")</f>
        <v/>
      </c>
      <c r="O279" s="33" t="str">
        <f>IF(Account!$F279&lt;&gt;"", DATEVALUE(MID($A279,4,3) &amp; LEFT($A279,3) &amp; RIGHT($A279,4)) + TIMEVALUE($B279), "")</f>
        <v/>
      </c>
      <c r="P279" s="34" t="str">
        <f>IF(Account!$F279&lt;&gt;"", DATEVALUE(MID($C279,4,3) &amp; LEFT($C279,3) &amp; RIGHT($C279,4)), "")</f>
        <v/>
      </c>
      <c r="Q279" s="35" t="str">
        <f t="array" ref="Q279">IF($R279&lt;&gt;"",IFERROR(INDEX(ISIN!$B:$B,MATCH($R279,ISIN!$C:$C,0))),)</f>
        <v/>
      </c>
      <c r="R279" s="36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5" t="str">
        <f t="shared" si="1"/>
        <v/>
      </c>
      <c r="T279" s="37" t="str">
        <f t="shared" si="2"/>
        <v/>
      </c>
      <c r="U279" s="38" t="str">
        <f t="shared" si="3"/>
        <v/>
      </c>
      <c r="V279" s="32" t="str">
        <f t="shared" si="4"/>
        <v/>
      </c>
      <c r="W279" s="39" t="str">
        <f>IFERROR(__xludf.DUMMYFUNCTION(" IF(Account!$F279&lt;&gt;"""", SPLIT(Account!$F279, "" ""), """")"),"")</f>
        <v/>
      </c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</row>
    <row r="280">
      <c r="A280" s="12"/>
      <c r="B280" s="12"/>
      <c r="C280" s="12"/>
      <c r="D280" s="12"/>
      <c r="E280" s="12"/>
      <c r="F280" s="13"/>
      <c r="G280" s="291"/>
      <c r="H280" s="12"/>
      <c r="I280" s="12"/>
      <c r="J280" s="12"/>
      <c r="K280" s="12"/>
      <c r="L280" s="13"/>
      <c r="M280" s="30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2" t="str">
        <f>IFERROR(__xludf.DUMMYFUNCTION("IF(Account!$F280&lt;&gt;"""", VALUE(REGEXREPLACE($I280, ""\,"", ""."")), """")"),"")</f>
        <v/>
      </c>
      <c r="O280" s="33" t="str">
        <f>IF(Account!$F280&lt;&gt;"", DATEVALUE(MID($A280,4,3) &amp; LEFT($A280,3) &amp; RIGHT($A280,4)) + TIMEVALUE($B280), "")</f>
        <v/>
      </c>
      <c r="P280" s="34" t="str">
        <f>IF(Account!$F280&lt;&gt;"", DATEVALUE(MID($C280,4,3) &amp; LEFT($C280,3) &amp; RIGHT($C280,4)), "")</f>
        <v/>
      </c>
      <c r="Q280" s="35" t="str">
        <f t="array" ref="Q280">IF($R280&lt;&gt;"",IFERROR(INDEX(ISIN!$B:$B,MATCH($R280,ISIN!$C:$C,0))),)</f>
        <v/>
      </c>
      <c r="R280" s="36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5" t="str">
        <f t="shared" si="1"/>
        <v/>
      </c>
      <c r="T280" s="37" t="str">
        <f t="shared" si="2"/>
        <v/>
      </c>
      <c r="U280" s="38" t="str">
        <f t="shared" si="3"/>
        <v/>
      </c>
      <c r="V280" s="32" t="str">
        <f t="shared" si="4"/>
        <v/>
      </c>
      <c r="W280" s="39" t="str">
        <f>IFERROR(__xludf.DUMMYFUNCTION(" IF(Account!$F280&lt;&gt;"""", SPLIT(Account!$F280, "" ""), """")"),"")</f>
        <v/>
      </c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</row>
    <row r="281">
      <c r="A281" s="12"/>
      <c r="B281" s="12"/>
      <c r="C281" s="12"/>
      <c r="D281" s="12"/>
      <c r="E281" s="12"/>
      <c r="F281" s="13"/>
      <c r="G281" s="291"/>
      <c r="H281" s="12"/>
      <c r="I281" s="12"/>
      <c r="J281" s="12"/>
      <c r="K281" s="12"/>
      <c r="L281" s="13"/>
      <c r="M281" s="30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2" t="str">
        <f>IFERROR(__xludf.DUMMYFUNCTION("IF(Account!$F281&lt;&gt;"""", VALUE(REGEXREPLACE($I281, ""\,"", ""."")), """")"),"")</f>
        <v/>
      </c>
      <c r="O281" s="33" t="str">
        <f>IF(Account!$F281&lt;&gt;"", DATEVALUE(MID($A281,4,3) &amp; LEFT($A281,3) &amp; RIGHT($A281,4)) + TIMEVALUE($B281), "")</f>
        <v/>
      </c>
      <c r="P281" s="34" t="str">
        <f>IF(Account!$F281&lt;&gt;"", DATEVALUE(MID($C281,4,3) &amp; LEFT($C281,3) &amp; RIGHT($C281,4)), "")</f>
        <v/>
      </c>
      <c r="Q281" s="35" t="str">
        <f t="array" ref="Q281">IF($R281&lt;&gt;"",IFERROR(INDEX(ISIN!$B:$B,MATCH($R281,ISIN!$C:$C,0))),)</f>
        <v/>
      </c>
      <c r="R281" s="36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5" t="str">
        <f t="shared" si="1"/>
        <v/>
      </c>
      <c r="T281" s="37" t="str">
        <f t="shared" si="2"/>
        <v/>
      </c>
      <c r="U281" s="38" t="str">
        <f t="shared" si="3"/>
        <v/>
      </c>
      <c r="V281" s="32" t="str">
        <f t="shared" si="4"/>
        <v/>
      </c>
      <c r="W281" s="39" t="str">
        <f>IFERROR(__xludf.DUMMYFUNCTION(" IF(Account!$F281&lt;&gt;"""", SPLIT(Account!$F281, "" ""), """")"),"")</f>
        <v/>
      </c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</row>
    <row r="282">
      <c r="A282" s="12"/>
      <c r="B282" s="12"/>
      <c r="C282" s="12"/>
      <c r="D282" s="12"/>
      <c r="E282" s="12"/>
      <c r="F282" s="13"/>
      <c r="G282" s="291"/>
      <c r="H282" s="12"/>
      <c r="I282" s="12"/>
      <c r="J282" s="12"/>
      <c r="K282" s="12"/>
      <c r="L282" s="13"/>
      <c r="M282" s="30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2" t="str">
        <f>IFERROR(__xludf.DUMMYFUNCTION("IF(Account!$F282&lt;&gt;"""", VALUE(REGEXREPLACE($I282, ""\,"", ""."")), """")"),"")</f>
        <v/>
      </c>
      <c r="O282" s="33" t="str">
        <f>IF(Account!$F282&lt;&gt;"", DATEVALUE(MID($A282,4,3) &amp; LEFT($A282,3) &amp; RIGHT($A282,4)) + TIMEVALUE($B282), "")</f>
        <v/>
      </c>
      <c r="P282" s="34" t="str">
        <f>IF(Account!$F282&lt;&gt;"", DATEVALUE(MID($C282,4,3) &amp; LEFT($C282,3) &amp; RIGHT($C282,4)), "")</f>
        <v/>
      </c>
      <c r="Q282" s="35" t="str">
        <f t="array" ref="Q282">IF($R282&lt;&gt;"",IFERROR(INDEX(ISIN!$B:$B,MATCH($R282,ISIN!$C:$C,0))),)</f>
        <v/>
      </c>
      <c r="R282" s="36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5" t="str">
        <f t="shared" si="1"/>
        <v/>
      </c>
      <c r="T282" s="37" t="str">
        <f t="shared" si="2"/>
        <v/>
      </c>
      <c r="U282" s="38" t="str">
        <f t="shared" si="3"/>
        <v/>
      </c>
      <c r="V282" s="32" t="str">
        <f t="shared" si="4"/>
        <v/>
      </c>
      <c r="W282" s="39" t="str">
        <f>IFERROR(__xludf.DUMMYFUNCTION(" IF(Account!$F282&lt;&gt;"""", SPLIT(Account!$F282, "" ""), """")"),"")</f>
        <v/>
      </c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</row>
    <row r="283">
      <c r="A283" s="12"/>
      <c r="B283" s="12"/>
      <c r="C283" s="12"/>
      <c r="D283" s="12"/>
      <c r="E283" s="12"/>
      <c r="F283" s="13"/>
      <c r="G283" s="12"/>
      <c r="H283" s="12"/>
      <c r="I283" s="12"/>
      <c r="J283" s="12"/>
      <c r="K283" s="12"/>
      <c r="L283" s="13"/>
      <c r="M283" s="30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2" t="str">
        <f>IFERROR(__xludf.DUMMYFUNCTION("IF(Account!$F283&lt;&gt;"""", VALUE(REGEXREPLACE($I283, ""\,"", ""."")), """")"),"")</f>
        <v/>
      </c>
      <c r="O283" s="33" t="str">
        <f>IF(Account!$F283&lt;&gt;"", DATEVALUE(MID($A283,4,3) &amp; LEFT($A283,3) &amp; RIGHT($A283,4)) + TIMEVALUE($B283), "")</f>
        <v/>
      </c>
      <c r="P283" s="34" t="str">
        <f>IF(Account!$F283&lt;&gt;"", DATEVALUE(MID($C283,4,3) &amp; LEFT($C283,3) &amp; RIGHT($C283,4)), "")</f>
        <v/>
      </c>
      <c r="Q283" s="35" t="str">
        <f t="array" ref="Q283">IF($R283&lt;&gt;"",IFERROR(INDEX(ISIN!$B:$B,MATCH($R283,ISIN!$C:$C,0))),)</f>
        <v/>
      </c>
      <c r="R283" s="36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5" t="str">
        <f t="shared" si="1"/>
        <v/>
      </c>
      <c r="T283" s="37" t="str">
        <f t="shared" si="2"/>
        <v/>
      </c>
      <c r="U283" s="38" t="str">
        <f t="shared" si="3"/>
        <v/>
      </c>
      <c r="V283" s="32" t="str">
        <f t="shared" si="4"/>
        <v/>
      </c>
      <c r="W283" s="39" t="str">
        <f>IFERROR(__xludf.DUMMYFUNCTION(" IF(Account!$F283&lt;&gt;"""", SPLIT(Account!$F283, "" ""), """")"),"")</f>
        <v/>
      </c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</row>
    <row r="284">
      <c r="A284" s="12"/>
      <c r="B284" s="12"/>
      <c r="C284" s="12"/>
      <c r="D284" s="12"/>
      <c r="E284" s="12"/>
      <c r="F284" s="13"/>
      <c r="G284" s="291"/>
      <c r="H284" s="12"/>
      <c r="I284" s="12"/>
      <c r="J284" s="12"/>
      <c r="K284" s="12"/>
      <c r="L284" s="13"/>
      <c r="M284" s="30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2" t="str">
        <f>IFERROR(__xludf.DUMMYFUNCTION("IF(Account!$F284&lt;&gt;"""", VALUE(REGEXREPLACE($I284, ""\,"", ""."")), """")"),"")</f>
        <v/>
      </c>
      <c r="O284" s="33" t="str">
        <f>IF(Account!$F284&lt;&gt;"", DATEVALUE(MID($A284,4,3) &amp; LEFT($A284,3) &amp; RIGHT($A284,4)) + TIMEVALUE($B284), "")</f>
        <v/>
      </c>
      <c r="P284" s="34" t="str">
        <f>IF(Account!$F284&lt;&gt;"", DATEVALUE(MID($C284,4,3) &amp; LEFT($C284,3) &amp; RIGHT($C284,4)), "")</f>
        <v/>
      </c>
      <c r="Q284" s="35" t="str">
        <f t="array" ref="Q284">IF($R284&lt;&gt;"",IFERROR(INDEX(ISIN!$B:$B,MATCH($R284,ISIN!$C:$C,0))),)</f>
        <v/>
      </c>
      <c r="R284" s="36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5" t="str">
        <f t="shared" si="1"/>
        <v/>
      </c>
      <c r="T284" s="37" t="str">
        <f t="shared" si="2"/>
        <v/>
      </c>
      <c r="U284" s="38" t="str">
        <f t="shared" si="3"/>
        <v/>
      </c>
      <c r="V284" s="32" t="str">
        <f t="shared" si="4"/>
        <v/>
      </c>
      <c r="W284" s="39" t="str">
        <f>IFERROR(__xludf.DUMMYFUNCTION(" IF(Account!$F284&lt;&gt;"""", SPLIT(Account!$F284, "" ""), """")"),"")</f>
        <v/>
      </c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</row>
    <row r="285">
      <c r="A285" s="12"/>
      <c r="B285" s="12"/>
      <c r="C285" s="12"/>
      <c r="D285" s="12"/>
      <c r="E285" s="12"/>
      <c r="F285" s="13"/>
      <c r="G285" s="291"/>
      <c r="H285" s="12"/>
      <c r="I285" s="12"/>
      <c r="J285" s="12"/>
      <c r="K285" s="12"/>
      <c r="L285" s="13"/>
      <c r="M285" s="30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2" t="str">
        <f>IFERROR(__xludf.DUMMYFUNCTION("IF(Account!$F285&lt;&gt;"""", VALUE(REGEXREPLACE($I285, ""\,"", ""."")), """")"),"")</f>
        <v/>
      </c>
      <c r="O285" s="33" t="str">
        <f>IF(Account!$F285&lt;&gt;"", DATEVALUE(MID($A285,4,3) &amp; LEFT($A285,3) &amp; RIGHT($A285,4)) + TIMEVALUE($B285), "")</f>
        <v/>
      </c>
      <c r="P285" s="34" t="str">
        <f>IF(Account!$F285&lt;&gt;"", DATEVALUE(MID($C285,4,3) &amp; LEFT($C285,3) &amp; RIGHT($C285,4)), "")</f>
        <v/>
      </c>
      <c r="Q285" s="35" t="str">
        <f t="array" ref="Q285">IF($R285&lt;&gt;"",IFERROR(INDEX(ISIN!$B:$B,MATCH($R285,ISIN!$C:$C,0))),)</f>
        <v/>
      </c>
      <c r="R285" s="36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5" t="str">
        <f t="shared" si="1"/>
        <v/>
      </c>
      <c r="T285" s="37" t="str">
        <f t="shared" si="2"/>
        <v/>
      </c>
      <c r="U285" s="38" t="str">
        <f t="shared" si="3"/>
        <v/>
      </c>
      <c r="V285" s="32" t="str">
        <f t="shared" si="4"/>
        <v/>
      </c>
      <c r="W285" s="39" t="str">
        <f>IFERROR(__xludf.DUMMYFUNCTION(" IF(Account!$F285&lt;&gt;"""", SPLIT(Account!$F285, "" ""), """")"),"")</f>
        <v/>
      </c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</row>
    <row r="286">
      <c r="A286" s="12"/>
      <c r="B286" s="12"/>
      <c r="C286" s="12"/>
      <c r="D286" s="12"/>
      <c r="E286" s="12"/>
      <c r="F286" s="13"/>
      <c r="G286" s="12"/>
      <c r="H286" s="12"/>
      <c r="I286" s="12"/>
      <c r="J286" s="12"/>
      <c r="K286" s="12"/>
      <c r="L286" s="13"/>
      <c r="M286" s="30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2" t="str">
        <f>IFERROR(__xludf.DUMMYFUNCTION("IF(Account!$F286&lt;&gt;"""", VALUE(REGEXREPLACE($I286, ""\,"", ""."")), """")"),"")</f>
        <v/>
      </c>
      <c r="O286" s="33" t="str">
        <f>IF(Account!$F286&lt;&gt;"", DATEVALUE(MID($A286,4,3) &amp; LEFT($A286,3) &amp; RIGHT($A286,4)) + TIMEVALUE($B286), "")</f>
        <v/>
      </c>
      <c r="P286" s="34" t="str">
        <f>IF(Account!$F286&lt;&gt;"", DATEVALUE(MID($C286,4,3) &amp; LEFT($C286,3) &amp; RIGHT($C286,4)), "")</f>
        <v/>
      </c>
      <c r="Q286" s="35" t="str">
        <f t="array" ref="Q286">IF($R286&lt;&gt;"",IFERROR(INDEX(ISIN!$B:$B,MATCH($R286,ISIN!$C:$C,0))),)</f>
        <v/>
      </c>
      <c r="R286" s="36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5" t="str">
        <f t="shared" si="1"/>
        <v/>
      </c>
      <c r="T286" s="37" t="str">
        <f t="shared" si="2"/>
        <v/>
      </c>
      <c r="U286" s="38" t="str">
        <f t="shared" si="3"/>
        <v/>
      </c>
      <c r="V286" s="32" t="str">
        <f t="shared" si="4"/>
        <v/>
      </c>
      <c r="W286" s="39" t="str">
        <f>IFERROR(__xludf.DUMMYFUNCTION(" IF(Account!$F286&lt;&gt;"""", SPLIT(Account!$F286, "" ""), """")"),"")</f>
        <v/>
      </c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</row>
    <row r="287">
      <c r="A287" s="12"/>
      <c r="B287" s="12"/>
      <c r="C287" s="12"/>
      <c r="D287" s="12"/>
      <c r="E287" s="12"/>
      <c r="F287" s="13"/>
      <c r="G287" s="291"/>
      <c r="H287" s="12"/>
      <c r="I287" s="12"/>
      <c r="J287" s="12"/>
      <c r="K287" s="12"/>
      <c r="L287" s="13"/>
      <c r="M287" s="30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2" t="str">
        <f>IFERROR(__xludf.DUMMYFUNCTION("IF(Account!$F287&lt;&gt;"""", VALUE(REGEXREPLACE($I287, ""\,"", ""."")), """")"),"")</f>
        <v/>
      </c>
      <c r="O287" s="33" t="str">
        <f>IF(Account!$F287&lt;&gt;"", DATEVALUE(MID($A287,4,3) &amp; LEFT($A287,3) &amp; RIGHT($A287,4)) + TIMEVALUE($B287), "")</f>
        <v/>
      </c>
      <c r="P287" s="34" t="str">
        <f>IF(Account!$F287&lt;&gt;"", DATEVALUE(MID($C287,4,3) &amp; LEFT($C287,3) &amp; RIGHT($C287,4)), "")</f>
        <v/>
      </c>
      <c r="Q287" s="35" t="str">
        <f t="array" ref="Q287">IF($R287&lt;&gt;"",IFERROR(INDEX(ISIN!$B:$B,MATCH($R287,ISIN!$C:$C,0))),)</f>
        <v/>
      </c>
      <c r="R287" s="36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5" t="str">
        <f t="shared" si="1"/>
        <v/>
      </c>
      <c r="T287" s="37" t="str">
        <f t="shared" si="2"/>
        <v/>
      </c>
      <c r="U287" s="38" t="str">
        <f t="shared" si="3"/>
        <v/>
      </c>
      <c r="V287" s="32" t="str">
        <f t="shared" si="4"/>
        <v/>
      </c>
      <c r="W287" s="39" t="str">
        <f>IFERROR(__xludf.DUMMYFUNCTION(" IF(Account!$F287&lt;&gt;"""", SPLIT(Account!$F287, "" ""), """")"),"")</f>
        <v/>
      </c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</row>
    <row r="288">
      <c r="A288" s="12"/>
      <c r="B288" s="12"/>
      <c r="C288" s="12"/>
      <c r="D288" s="12"/>
      <c r="E288" s="12"/>
      <c r="F288" s="13"/>
      <c r="G288" s="12"/>
      <c r="H288" s="12"/>
      <c r="I288" s="12"/>
      <c r="J288" s="12"/>
      <c r="K288" s="12"/>
      <c r="L288" s="13"/>
      <c r="M288" s="30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2" t="str">
        <f>IFERROR(__xludf.DUMMYFUNCTION("IF(Account!$F288&lt;&gt;"""", VALUE(REGEXREPLACE($I288, ""\,"", ""."")), """")"),"")</f>
        <v/>
      </c>
      <c r="O288" s="33" t="str">
        <f>IF(Account!$F288&lt;&gt;"", DATEVALUE(MID($A288,4,3) &amp; LEFT($A288,3) &amp; RIGHT($A288,4)) + TIMEVALUE($B288), "")</f>
        <v/>
      </c>
      <c r="P288" s="34" t="str">
        <f>IF(Account!$F288&lt;&gt;"", DATEVALUE(MID($C288,4,3) &amp; LEFT($C288,3) &amp; RIGHT($C288,4)), "")</f>
        <v/>
      </c>
      <c r="Q288" s="35" t="str">
        <f t="array" ref="Q288">IF($R288&lt;&gt;"",IFERROR(INDEX(ISIN!$B:$B,MATCH($R288,ISIN!$C:$C,0))),)</f>
        <v/>
      </c>
      <c r="R288" s="36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5" t="str">
        <f t="shared" si="1"/>
        <v/>
      </c>
      <c r="T288" s="37" t="str">
        <f t="shared" si="2"/>
        <v/>
      </c>
      <c r="U288" s="38" t="str">
        <f t="shared" si="3"/>
        <v/>
      </c>
      <c r="V288" s="32" t="str">
        <f t="shared" si="4"/>
        <v/>
      </c>
      <c r="W288" s="39" t="str">
        <f>IFERROR(__xludf.DUMMYFUNCTION(" IF(Account!$F288&lt;&gt;"""", SPLIT(Account!$F288, "" ""), """")"),"")</f>
        <v/>
      </c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</row>
    <row r="289">
      <c r="A289" s="12"/>
      <c r="B289" s="12"/>
      <c r="C289" s="12"/>
      <c r="D289" s="12"/>
      <c r="E289" s="12"/>
      <c r="F289" s="13"/>
      <c r="G289" s="12"/>
      <c r="H289" s="12"/>
      <c r="I289" s="12"/>
      <c r="J289" s="12"/>
      <c r="K289" s="12"/>
      <c r="L289" s="13"/>
      <c r="M289" s="30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2" t="str">
        <f>IFERROR(__xludf.DUMMYFUNCTION("IF(Account!$F289&lt;&gt;"""", VALUE(REGEXREPLACE($I289, ""\,"", ""."")), """")"),"")</f>
        <v/>
      </c>
      <c r="O289" s="33" t="str">
        <f>IF(Account!$F289&lt;&gt;"", DATEVALUE(MID($A289,4,3) &amp; LEFT($A289,3) &amp; RIGHT($A289,4)) + TIMEVALUE($B289), "")</f>
        <v/>
      </c>
      <c r="P289" s="34" t="str">
        <f>IF(Account!$F289&lt;&gt;"", DATEVALUE(MID($C289,4,3) &amp; LEFT($C289,3) &amp; RIGHT($C289,4)), "")</f>
        <v/>
      </c>
      <c r="Q289" s="35" t="str">
        <f t="array" ref="Q289">IF($R289&lt;&gt;"",IFERROR(INDEX(ISIN!$B:$B,MATCH($R289,ISIN!$C:$C,0))),)</f>
        <v/>
      </c>
      <c r="R289" s="36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5" t="str">
        <f t="shared" si="1"/>
        <v/>
      </c>
      <c r="T289" s="37" t="str">
        <f t="shared" si="2"/>
        <v/>
      </c>
      <c r="U289" s="38" t="str">
        <f t="shared" si="3"/>
        <v/>
      </c>
      <c r="V289" s="32" t="str">
        <f t="shared" si="4"/>
        <v/>
      </c>
      <c r="W289" s="39" t="str">
        <f>IFERROR(__xludf.DUMMYFUNCTION(" IF(Account!$F289&lt;&gt;"""", SPLIT(Account!$F289, "" ""), """")"),"")</f>
        <v/>
      </c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</row>
    <row r="290">
      <c r="A290" s="12"/>
      <c r="B290" s="12"/>
      <c r="C290" s="12"/>
      <c r="D290" s="12"/>
      <c r="E290" s="12"/>
      <c r="F290" s="13"/>
      <c r="G290" s="12"/>
      <c r="H290" s="12"/>
      <c r="I290" s="12"/>
      <c r="J290" s="12"/>
      <c r="K290" s="12"/>
      <c r="L290" s="13"/>
      <c r="M290" s="30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2" t="str">
        <f>IFERROR(__xludf.DUMMYFUNCTION("IF(Account!$F290&lt;&gt;"""", VALUE(REGEXREPLACE($I290, ""\,"", ""."")), """")"),"")</f>
        <v/>
      </c>
      <c r="O290" s="33" t="str">
        <f>IF(Account!$F290&lt;&gt;"", DATEVALUE(MID($A290,4,3) &amp; LEFT($A290,3) &amp; RIGHT($A290,4)) + TIMEVALUE($B290), "")</f>
        <v/>
      </c>
      <c r="P290" s="34" t="str">
        <f>IF(Account!$F290&lt;&gt;"", DATEVALUE(MID($C290,4,3) &amp; LEFT($C290,3) &amp; RIGHT($C290,4)), "")</f>
        <v/>
      </c>
      <c r="Q290" s="35" t="str">
        <f t="array" ref="Q290">IF($R290&lt;&gt;"",IFERROR(INDEX(ISIN!$B:$B,MATCH($R290,ISIN!$C:$C,0))),)</f>
        <v/>
      </c>
      <c r="R290" s="36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5" t="str">
        <f t="shared" si="1"/>
        <v/>
      </c>
      <c r="T290" s="37" t="str">
        <f t="shared" si="2"/>
        <v/>
      </c>
      <c r="U290" s="38" t="str">
        <f t="shared" si="3"/>
        <v/>
      </c>
      <c r="V290" s="32" t="str">
        <f t="shared" si="4"/>
        <v/>
      </c>
      <c r="W290" s="39" t="str">
        <f>IFERROR(__xludf.DUMMYFUNCTION(" IF(Account!$F290&lt;&gt;"""", SPLIT(Account!$F290, "" ""), """")"),"")</f>
        <v/>
      </c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</row>
    <row r="291">
      <c r="A291" s="12"/>
      <c r="B291" s="12"/>
      <c r="C291" s="12"/>
      <c r="D291" s="12"/>
      <c r="E291" s="12"/>
      <c r="F291" s="13"/>
      <c r="G291" s="291"/>
      <c r="H291" s="12"/>
      <c r="I291" s="12"/>
      <c r="J291" s="12"/>
      <c r="K291" s="12"/>
      <c r="L291" s="13"/>
      <c r="M291" s="30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2" t="str">
        <f>IFERROR(__xludf.DUMMYFUNCTION("IF(Account!$F291&lt;&gt;"""", VALUE(REGEXREPLACE($I291, ""\,"", ""."")), """")"),"")</f>
        <v/>
      </c>
      <c r="O291" s="33" t="str">
        <f>IF(Account!$F291&lt;&gt;"", DATEVALUE(MID($A291,4,3) &amp; LEFT($A291,3) &amp; RIGHT($A291,4)) + TIMEVALUE($B291), "")</f>
        <v/>
      </c>
      <c r="P291" s="34" t="str">
        <f>IF(Account!$F291&lt;&gt;"", DATEVALUE(MID($C291,4,3) &amp; LEFT($C291,3) &amp; RIGHT($C291,4)), "")</f>
        <v/>
      </c>
      <c r="Q291" s="35" t="str">
        <f t="array" ref="Q291">IF($R291&lt;&gt;"",IFERROR(INDEX(ISIN!$B:$B,MATCH($R291,ISIN!$C:$C,0))),)</f>
        <v/>
      </c>
      <c r="R291" s="36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5" t="str">
        <f t="shared" si="1"/>
        <v/>
      </c>
      <c r="T291" s="37" t="str">
        <f t="shared" si="2"/>
        <v/>
      </c>
      <c r="U291" s="38" t="str">
        <f t="shared" si="3"/>
        <v/>
      </c>
      <c r="V291" s="32" t="str">
        <f t="shared" si="4"/>
        <v/>
      </c>
      <c r="W291" s="39" t="str">
        <f>IFERROR(__xludf.DUMMYFUNCTION(" IF(Account!$F291&lt;&gt;"""", SPLIT(Account!$F291, "" ""), """")"),"")</f>
        <v/>
      </c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</row>
    <row r="292">
      <c r="A292" s="12"/>
      <c r="B292" s="12"/>
      <c r="C292" s="12"/>
      <c r="D292" s="12"/>
      <c r="E292" s="12"/>
      <c r="F292" s="13"/>
      <c r="G292" s="12"/>
      <c r="H292" s="12"/>
      <c r="I292" s="12"/>
      <c r="J292" s="12"/>
      <c r="K292" s="12"/>
      <c r="L292" s="13"/>
      <c r="M292" s="30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2" t="str">
        <f>IFERROR(__xludf.DUMMYFUNCTION("IF(Account!$F292&lt;&gt;"""", VALUE(REGEXREPLACE($I292, ""\,"", ""."")), """")"),"")</f>
        <v/>
      </c>
      <c r="O292" s="33" t="str">
        <f>IF(Account!$F292&lt;&gt;"", DATEVALUE(MID($A292,4,3) &amp; LEFT($A292,3) &amp; RIGHT($A292,4)) + TIMEVALUE($B292), "")</f>
        <v/>
      </c>
      <c r="P292" s="34" t="str">
        <f>IF(Account!$F292&lt;&gt;"", DATEVALUE(MID($C292,4,3) &amp; LEFT($C292,3) &amp; RIGHT($C292,4)), "")</f>
        <v/>
      </c>
      <c r="Q292" s="35" t="str">
        <f t="array" ref="Q292">IF($R292&lt;&gt;"",IFERROR(INDEX(ISIN!$B:$B,MATCH($R292,ISIN!$C:$C,0))),)</f>
        <v/>
      </c>
      <c r="R292" s="36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5" t="str">
        <f t="shared" si="1"/>
        <v/>
      </c>
      <c r="T292" s="37" t="str">
        <f t="shared" si="2"/>
        <v/>
      </c>
      <c r="U292" s="38" t="str">
        <f t="shared" si="3"/>
        <v/>
      </c>
      <c r="V292" s="32" t="str">
        <f t="shared" si="4"/>
        <v/>
      </c>
      <c r="W292" s="39" t="str">
        <f>IFERROR(__xludf.DUMMYFUNCTION(" IF(Account!$F292&lt;&gt;"""", SPLIT(Account!$F292, "" ""), """")"),"")</f>
        <v/>
      </c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</row>
    <row r="293">
      <c r="A293" s="12"/>
      <c r="B293" s="12"/>
      <c r="C293" s="12"/>
      <c r="D293" s="12"/>
      <c r="E293" s="12"/>
      <c r="F293" s="13"/>
      <c r="G293" s="291"/>
      <c r="H293" s="12"/>
      <c r="I293" s="12"/>
      <c r="J293" s="12"/>
      <c r="K293" s="12"/>
      <c r="L293" s="13"/>
      <c r="M293" s="30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2" t="str">
        <f>IFERROR(__xludf.DUMMYFUNCTION("IF(Account!$F293&lt;&gt;"""", VALUE(REGEXREPLACE($I293, ""\,"", ""."")), """")"),"")</f>
        <v/>
      </c>
      <c r="O293" s="33" t="str">
        <f>IF(Account!$F293&lt;&gt;"", DATEVALUE(MID($A293,4,3) &amp; LEFT($A293,3) &amp; RIGHT($A293,4)) + TIMEVALUE($B293), "")</f>
        <v/>
      </c>
      <c r="P293" s="34" t="str">
        <f>IF(Account!$F293&lt;&gt;"", DATEVALUE(MID($C293,4,3) &amp; LEFT($C293,3) &amp; RIGHT($C293,4)), "")</f>
        <v/>
      </c>
      <c r="Q293" s="35" t="str">
        <f t="array" ref="Q293">IF($R293&lt;&gt;"",IFERROR(INDEX(ISIN!$B:$B,MATCH($R293,ISIN!$C:$C,0))),)</f>
        <v/>
      </c>
      <c r="R293" s="36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5" t="str">
        <f t="shared" si="1"/>
        <v/>
      </c>
      <c r="T293" s="37" t="str">
        <f t="shared" si="2"/>
        <v/>
      </c>
      <c r="U293" s="38" t="str">
        <f t="shared" si="3"/>
        <v/>
      </c>
      <c r="V293" s="32" t="str">
        <f t="shared" si="4"/>
        <v/>
      </c>
      <c r="W293" s="39" t="str">
        <f>IFERROR(__xludf.DUMMYFUNCTION(" IF(Account!$F293&lt;&gt;"""", SPLIT(Account!$F293, "" ""), """")"),"")</f>
        <v/>
      </c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</row>
    <row r="294">
      <c r="A294" s="12"/>
      <c r="B294" s="12"/>
      <c r="C294" s="12"/>
      <c r="D294" s="12"/>
      <c r="E294" s="12"/>
      <c r="F294" s="13"/>
      <c r="G294" s="12"/>
      <c r="H294" s="12"/>
      <c r="I294" s="12"/>
      <c r="J294" s="12"/>
      <c r="K294" s="12"/>
      <c r="L294" s="13"/>
      <c r="M294" s="30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2" t="str">
        <f>IFERROR(__xludf.DUMMYFUNCTION("IF(Account!$F294&lt;&gt;"""", VALUE(REGEXREPLACE($I294, ""\,"", ""."")), """")"),"")</f>
        <v/>
      </c>
      <c r="O294" s="33" t="str">
        <f>IF(Account!$F294&lt;&gt;"", DATEVALUE(MID($A294,4,3) &amp; LEFT($A294,3) &amp; RIGHT($A294,4)) + TIMEVALUE($B294), "")</f>
        <v/>
      </c>
      <c r="P294" s="34" t="str">
        <f>IF(Account!$F294&lt;&gt;"", DATEVALUE(MID($C294,4,3) &amp; LEFT($C294,3) &amp; RIGHT($C294,4)), "")</f>
        <v/>
      </c>
      <c r="Q294" s="35" t="str">
        <f t="array" ref="Q294">IF($R294&lt;&gt;"",IFERROR(INDEX(ISIN!$B:$B,MATCH($R294,ISIN!$C:$C,0))),)</f>
        <v/>
      </c>
      <c r="R294" s="36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5" t="str">
        <f t="shared" si="1"/>
        <v/>
      </c>
      <c r="T294" s="37" t="str">
        <f t="shared" si="2"/>
        <v/>
      </c>
      <c r="U294" s="38" t="str">
        <f t="shared" si="3"/>
        <v/>
      </c>
      <c r="V294" s="32" t="str">
        <f t="shared" si="4"/>
        <v/>
      </c>
      <c r="W294" s="39" t="str">
        <f>IFERROR(__xludf.DUMMYFUNCTION(" IF(Account!$F294&lt;&gt;"""", SPLIT(Account!$F294, "" ""), """")"),"")</f>
        <v/>
      </c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</row>
    <row r="295">
      <c r="A295" s="12"/>
      <c r="B295" s="12"/>
      <c r="C295" s="12"/>
      <c r="D295" s="12"/>
      <c r="E295" s="12"/>
      <c r="F295" s="13"/>
      <c r="G295" s="12"/>
      <c r="H295" s="12"/>
      <c r="I295" s="12"/>
      <c r="J295" s="12"/>
      <c r="K295" s="12"/>
      <c r="L295" s="13"/>
      <c r="M295" s="30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2" t="str">
        <f>IFERROR(__xludf.DUMMYFUNCTION("IF(Account!$F295&lt;&gt;"""", VALUE(REGEXREPLACE($I295, ""\,"", ""."")), """")"),"")</f>
        <v/>
      </c>
      <c r="O295" s="33" t="str">
        <f>IF(Account!$F295&lt;&gt;"", DATEVALUE(MID($A295,4,3) &amp; LEFT($A295,3) &amp; RIGHT($A295,4)) + TIMEVALUE($B295), "")</f>
        <v/>
      </c>
      <c r="P295" s="34" t="str">
        <f>IF(Account!$F295&lt;&gt;"", DATEVALUE(MID($C295,4,3) &amp; LEFT($C295,3) &amp; RIGHT($C295,4)), "")</f>
        <v/>
      </c>
      <c r="Q295" s="35" t="str">
        <f t="array" ref="Q295">IF($R295&lt;&gt;"",IFERROR(INDEX(ISIN!$B:$B,MATCH($R295,ISIN!$C:$C,0))),)</f>
        <v/>
      </c>
      <c r="R295" s="36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5" t="str">
        <f t="shared" si="1"/>
        <v/>
      </c>
      <c r="T295" s="37" t="str">
        <f t="shared" si="2"/>
        <v/>
      </c>
      <c r="U295" s="38" t="str">
        <f t="shared" si="3"/>
        <v/>
      </c>
      <c r="V295" s="32" t="str">
        <f t="shared" si="4"/>
        <v/>
      </c>
      <c r="W295" s="39" t="str">
        <f>IFERROR(__xludf.DUMMYFUNCTION(" IF(Account!$F295&lt;&gt;"""", SPLIT(Account!$F295, "" ""), """")"),"")</f>
        <v/>
      </c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</row>
    <row r="296">
      <c r="A296" s="12"/>
      <c r="B296" s="12"/>
      <c r="C296" s="12"/>
      <c r="D296" s="12"/>
      <c r="E296" s="12"/>
      <c r="F296" s="13"/>
      <c r="G296" s="12"/>
      <c r="H296" s="12"/>
      <c r="I296" s="12"/>
      <c r="J296" s="12"/>
      <c r="K296" s="12"/>
      <c r="L296" s="13"/>
      <c r="M296" s="30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2" t="str">
        <f>IFERROR(__xludf.DUMMYFUNCTION("IF(Account!$F296&lt;&gt;"""", VALUE(REGEXREPLACE($I296, ""\,"", ""."")), """")"),"")</f>
        <v/>
      </c>
      <c r="O296" s="33" t="str">
        <f>IF(Account!$F296&lt;&gt;"", DATEVALUE(MID($A296,4,3) &amp; LEFT($A296,3) &amp; RIGHT($A296,4)) + TIMEVALUE($B296), "")</f>
        <v/>
      </c>
      <c r="P296" s="34" t="str">
        <f>IF(Account!$F296&lt;&gt;"", DATEVALUE(MID($C296,4,3) &amp; LEFT($C296,3) &amp; RIGHT($C296,4)), "")</f>
        <v/>
      </c>
      <c r="Q296" s="35" t="str">
        <f t="array" ref="Q296">IF($R296&lt;&gt;"",IFERROR(INDEX(ISIN!$B:$B,MATCH($R296,ISIN!$C:$C,0))),)</f>
        <v/>
      </c>
      <c r="R296" s="36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5" t="str">
        <f t="shared" si="1"/>
        <v/>
      </c>
      <c r="T296" s="37" t="str">
        <f t="shared" si="2"/>
        <v/>
      </c>
      <c r="U296" s="38" t="str">
        <f t="shared" si="3"/>
        <v/>
      </c>
      <c r="V296" s="32" t="str">
        <f t="shared" si="4"/>
        <v/>
      </c>
      <c r="W296" s="39" t="str">
        <f>IFERROR(__xludf.DUMMYFUNCTION(" IF(Account!$F296&lt;&gt;"""", SPLIT(Account!$F296, "" ""), """")"),"")</f>
        <v/>
      </c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</row>
    <row r="297">
      <c r="A297" s="12"/>
      <c r="B297" s="12"/>
      <c r="C297" s="12"/>
      <c r="D297" s="12"/>
      <c r="E297" s="12"/>
      <c r="F297" s="13"/>
      <c r="G297" s="291"/>
      <c r="H297" s="12"/>
      <c r="I297" s="12"/>
      <c r="J297" s="12"/>
      <c r="K297" s="12"/>
      <c r="L297" s="13"/>
      <c r="M297" s="30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2" t="str">
        <f>IFERROR(__xludf.DUMMYFUNCTION("IF(Account!$F297&lt;&gt;"""", VALUE(REGEXREPLACE($I297, ""\,"", ""."")), """")"),"")</f>
        <v/>
      </c>
      <c r="O297" s="33" t="str">
        <f>IF(Account!$F297&lt;&gt;"", DATEVALUE(MID($A297,4,3) &amp; LEFT($A297,3) &amp; RIGHT($A297,4)) + TIMEVALUE($B297), "")</f>
        <v/>
      </c>
      <c r="P297" s="34" t="str">
        <f>IF(Account!$F297&lt;&gt;"", DATEVALUE(MID($C297,4,3) &amp; LEFT($C297,3) &amp; RIGHT($C297,4)), "")</f>
        <v/>
      </c>
      <c r="Q297" s="35" t="str">
        <f t="array" ref="Q297">IF($R297&lt;&gt;"",IFERROR(INDEX(ISIN!$B:$B,MATCH($R297,ISIN!$C:$C,0))),)</f>
        <v/>
      </c>
      <c r="R297" s="36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5" t="str">
        <f t="shared" si="1"/>
        <v/>
      </c>
      <c r="T297" s="37" t="str">
        <f t="shared" si="2"/>
        <v/>
      </c>
      <c r="U297" s="38" t="str">
        <f t="shared" si="3"/>
        <v/>
      </c>
      <c r="V297" s="32" t="str">
        <f t="shared" si="4"/>
        <v/>
      </c>
      <c r="W297" s="39" t="str">
        <f>IFERROR(__xludf.DUMMYFUNCTION(" IF(Account!$F297&lt;&gt;"""", SPLIT(Account!$F297, "" ""), """")"),"")</f>
        <v/>
      </c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</row>
    <row r="298">
      <c r="A298" s="12"/>
      <c r="B298" s="12"/>
      <c r="C298" s="12"/>
      <c r="D298" s="12"/>
      <c r="E298" s="12"/>
      <c r="F298" s="13"/>
      <c r="G298" s="12"/>
      <c r="H298" s="12"/>
      <c r="I298" s="12"/>
      <c r="J298" s="12"/>
      <c r="K298" s="12"/>
      <c r="L298" s="13"/>
      <c r="M298" s="30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2" t="str">
        <f>IFERROR(__xludf.DUMMYFUNCTION("IF(Account!$F298&lt;&gt;"""", VALUE(REGEXREPLACE($I298, ""\,"", ""."")), """")"),"")</f>
        <v/>
      </c>
      <c r="O298" s="33" t="str">
        <f>IF(Account!$F298&lt;&gt;"", DATEVALUE(MID($A298,4,3) &amp; LEFT($A298,3) &amp; RIGHT($A298,4)) + TIMEVALUE($B298), "")</f>
        <v/>
      </c>
      <c r="P298" s="34" t="str">
        <f>IF(Account!$F298&lt;&gt;"", DATEVALUE(MID($C298,4,3) &amp; LEFT($C298,3) &amp; RIGHT($C298,4)), "")</f>
        <v/>
      </c>
      <c r="Q298" s="35" t="str">
        <f t="array" ref="Q298">IF($R298&lt;&gt;"",IFERROR(INDEX(ISIN!$B:$B,MATCH($R298,ISIN!$C:$C,0))),)</f>
        <v/>
      </c>
      <c r="R298" s="36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5" t="str">
        <f t="shared" si="1"/>
        <v/>
      </c>
      <c r="T298" s="37" t="str">
        <f t="shared" si="2"/>
        <v/>
      </c>
      <c r="U298" s="38" t="str">
        <f t="shared" si="3"/>
        <v/>
      </c>
      <c r="V298" s="32" t="str">
        <f t="shared" si="4"/>
        <v/>
      </c>
      <c r="W298" s="39" t="str">
        <f>IFERROR(__xludf.DUMMYFUNCTION(" IF(Account!$F298&lt;&gt;"""", SPLIT(Account!$F298, "" ""), """")"),"")</f>
        <v/>
      </c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</row>
    <row r="299">
      <c r="A299" s="12"/>
      <c r="B299" s="12"/>
      <c r="C299" s="12"/>
      <c r="D299" s="12"/>
      <c r="E299" s="12"/>
      <c r="F299" s="13"/>
      <c r="G299" s="291"/>
      <c r="H299" s="12"/>
      <c r="I299" s="12"/>
      <c r="J299" s="12"/>
      <c r="K299" s="12"/>
      <c r="L299" s="13"/>
      <c r="M299" s="30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2" t="str">
        <f>IFERROR(__xludf.DUMMYFUNCTION("IF(Account!$F299&lt;&gt;"""", VALUE(REGEXREPLACE($I299, ""\,"", ""."")), """")"),"")</f>
        <v/>
      </c>
      <c r="O299" s="33" t="str">
        <f>IF(Account!$F299&lt;&gt;"", DATEVALUE(MID($A299,4,3) &amp; LEFT($A299,3) &amp; RIGHT($A299,4)) + TIMEVALUE($B299), "")</f>
        <v/>
      </c>
      <c r="P299" s="34" t="str">
        <f>IF(Account!$F299&lt;&gt;"", DATEVALUE(MID($C299,4,3) &amp; LEFT($C299,3) &amp; RIGHT($C299,4)), "")</f>
        <v/>
      </c>
      <c r="Q299" s="35" t="str">
        <f t="array" ref="Q299">IF($R299&lt;&gt;"",IFERROR(INDEX(ISIN!$B:$B,MATCH($R299,ISIN!$C:$C,0))),)</f>
        <v/>
      </c>
      <c r="R299" s="36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5" t="str">
        <f t="shared" si="1"/>
        <v/>
      </c>
      <c r="T299" s="37" t="str">
        <f t="shared" si="2"/>
        <v/>
      </c>
      <c r="U299" s="38" t="str">
        <f t="shared" si="3"/>
        <v/>
      </c>
      <c r="V299" s="32" t="str">
        <f t="shared" si="4"/>
        <v/>
      </c>
      <c r="W299" s="39" t="str">
        <f>IFERROR(__xludf.DUMMYFUNCTION(" IF(Account!$F299&lt;&gt;"""", SPLIT(Account!$F299, "" ""), """")"),"")</f>
        <v/>
      </c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</row>
    <row r="300">
      <c r="A300" s="12"/>
      <c r="B300" s="12"/>
      <c r="C300" s="12"/>
      <c r="D300" s="12"/>
      <c r="E300" s="12"/>
      <c r="F300" s="13"/>
      <c r="G300" s="12"/>
      <c r="H300" s="12"/>
      <c r="I300" s="12"/>
      <c r="J300" s="12"/>
      <c r="K300" s="12"/>
      <c r="L300" s="13"/>
      <c r="M300" s="30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2" t="str">
        <f>IFERROR(__xludf.DUMMYFUNCTION("IF(Account!$F300&lt;&gt;"""", VALUE(REGEXREPLACE($I300, ""\,"", ""."")), """")"),"")</f>
        <v/>
      </c>
      <c r="O300" s="33" t="str">
        <f>IF(Account!$F300&lt;&gt;"", DATEVALUE(MID($A300,4,3) &amp; LEFT($A300,3) &amp; RIGHT($A300,4)) + TIMEVALUE($B300), "")</f>
        <v/>
      </c>
      <c r="P300" s="34" t="str">
        <f>IF(Account!$F300&lt;&gt;"", DATEVALUE(MID($C300,4,3) &amp; LEFT($C300,3) &amp; RIGHT($C300,4)), "")</f>
        <v/>
      </c>
      <c r="Q300" s="35" t="str">
        <f t="array" ref="Q300">IF($R300&lt;&gt;"",IFERROR(INDEX(ISIN!$B:$B,MATCH($R300,ISIN!$C:$C,0))),)</f>
        <v/>
      </c>
      <c r="R300" s="36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5" t="str">
        <f t="shared" si="1"/>
        <v/>
      </c>
      <c r="T300" s="37" t="str">
        <f t="shared" si="2"/>
        <v/>
      </c>
      <c r="U300" s="38" t="str">
        <f t="shared" si="3"/>
        <v/>
      </c>
      <c r="V300" s="32" t="str">
        <f t="shared" si="4"/>
        <v/>
      </c>
      <c r="W300" s="39" t="str">
        <f>IFERROR(__xludf.DUMMYFUNCTION(" IF(Account!$F300&lt;&gt;"""", SPLIT(Account!$F300, "" ""), """")"),"")</f>
        <v/>
      </c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</row>
    <row r="301">
      <c r="A301" s="12"/>
      <c r="B301" s="12"/>
      <c r="C301" s="12"/>
      <c r="D301" s="12"/>
      <c r="E301" s="12"/>
      <c r="F301" s="13"/>
      <c r="G301" s="291"/>
      <c r="H301" s="12"/>
      <c r="I301" s="12"/>
      <c r="J301" s="12"/>
      <c r="K301" s="12"/>
      <c r="L301" s="13"/>
      <c r="M301" s="30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2" t="str">
        <f>IFERROR(__xludf.DUMMYFUNCTION("IF(Account!$F301&lt;&gt;"""", VALUE(REGEXREPLACE($I301, ""\,"", ""."")), """")"),"")</f>
        <v/>
      </c>
      <c r="O301" s="33" t="str">
        <f>IF(Account!$F301&lt;&gt;"", DATEVALUE(MID($A301,4,3) &amp; LEFT($A301,3) &amp; RIGHT($A301,4)) + TIMEVALUE($B301), "")</f>
        <v/>
      </c>
      <c r="P301" s="34" t="str">
        <f>IF(Account!$F301&lt;&gt;"", DATEVALUE(MID($C301,4,3) &amp; LEFT($C301,3) &amp; RIGHT($C301,4)), "")</f>
        <v/>
      </c>
      <c r="Q301" s="35" t="str">
        <f t="array" ref="Q301">IF($R301&lt;&gt;"",IFERROR(INDEX(ISIN!$B:$B,MATCH($R301,ISIN!$C:$C,0))),)</f>
        <v/>
      </c>
      <c r="R301" s="36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5" t="str">
        <f t="shared" si="1"/>
        <v/>
      </c>
      <c r="T301" s="37" t="str">
        <f t="shared" si="2"/>
        <v/>
      </c>
      <c r="U301" s="38" t="str">
        <f t="shared" si="3"/>
        <v/>
      </c>
      <c r="V301" s="32" t="str">
        <f t="shared" si="4"/>
        <v/>
      </c>
      <c r="W301" s="39" t="str">
        <f>IFERROR(__xludf.DUMMYFUNCTION(" IF(Account!$F301&lt;&gt;"""", SPLIT(Account!$F301, "" ""), """")"),"")</f>
        <v/>
      </c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</row>
    <row r="302">
      <c r="A302" s="12"/>
      <c r="B302" s="12"/>
      <c r="C302" s="12"/>
      <c r="D302" s="12"/>
      <c r="E302" s="12"/>
      <c r="F302" s="13"/>
      <c r="G302" s="12"/>
      <c r="H302" s="12"/>
      <c r="I302" s="12"/>
      <c r="J302" s="12"/>
      <c r="K302" s="12"/>
      <c r="L302" s="13"/>
      <c r="M302" s="30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2" t="str">
        <f>IFERROR(__xludf.DUMMYFUNCTION("IF(Account!$F302&lt;&gt;"""", VALUE(REGEXREPLACE($I302, ""\,"", ""."")), """")"),"")</f>
        <v/>
      </c>
      <c r="O302" s="33" t="str">
        <f>IF(Account!$F302&lt;&gt;"", DATEVALUE(MID($A302,4,3) &amp; LEFT($A302,3) &amp; RIGHT($A302,4)) + TIMEVALUE($B302), "")</f>
        <v/>
      </c>
      <c r="P302" s="34" t="str">
        <f>IF(Account!$F302&lt;&gt;"", DATEVALUE(MID($C302,4,3) &amp; LEFT($C302,3) &amp; RIGHT($C302,4)), "")</f>
        <v/>
      </c>
      <c r="Q302" s="35" t="str">
        <f t="array" ref="Q302">IF($R302&lt;&gt;"",IFERROR(INDEX(ISIN!$B:$B,MATCH($R302,ISIN!$C:$C,0))),)</f>
        <v/>
      </c>
      <c r="R302" s="36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5" t="str">
        <f t="shared" si="1"/>
        <v/>
      </c>
      <c r="T302" s="37" t="str">
        <f t="shared" si="2"/>
        <v/>
      </c>
      <c r="U302" s="38" t="str">
        <f t="shared" si="3"/>
        <v/>
      </c>
      <c r="V302" s="32" t="str">
        <f t="shared" si="4"/>
        <v/>
      </c>
      <c r="W302" s="39" t="str">
        <f>IFERROR(__xludf.DUMMYFUNCTION(" IF(Account!$F302&lt;&gt;"""", SPLIT(Account!$F302, "" ""), """")"),"")</f>
        <v/>
      </c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</row>
    <row r="303">
      <c r="A303" s="12"/>
      <c r="B303" s="12"/>
      <c r="C303" s="12"/>
      <c r="D303" s="12"/>
      <c r="E303" s="12"/>
      <c r="F303" s="13"/>
      <c r="G303" s="291"/>
      <c r="H303" s="12"/>
      <c r="I303" s="12"/>
      <c r="J303" s="12"/>
      <c r="K303" s="12"/>
      <c r="L303" s="13"/>
      <c r="M303" s="30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2" t="str">
        <f>IFERROR(__xludf.DUMMYFUNCTION("IF(Account!$F303&lt;&gt;"""", VALUE(REGEXREPLACE($I303, ""\,"", ""."")), """")"),"")</f>
        <v/>
      </c>
      <c r="O303" s="33" t="str">
        <f>IF(Account!$F303&lt;&gt;"", DATEVALUE(MID($A303,4,3) &amp; LEFT($A303,3) &amp; RIGHT($A303,4)) + TIMEVALUE($B303), "")</f>
        <v/>
      </c>
      <c r="P303" s="34" t="str">
        <f>IF(Account!$F303&lt;&gt;"", DATEVALUE(MID($C303,4,3) &amp; LEFT($C303,3) &amp; RIGHT($C303,4)), "")</f>
        <v/>
      </c>
      <c r="Q303" s="35" t="str">
        <f t="array" ref="Q303">IF($R303&lt;&gt;"",IFERROR(INDEX(ISIN!$B:$B,MATCH($R303,ISIN!$C:$C,0))),)</f>
        <v/>
      </c>
      <c r="R303" s="36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5" t="str">
        <f t="shared" si="1"/>
        <v/>
      </c>
      <c r="T303" s="37" t="str">
        <f t="shared" si="2"/>
        <v/>
      </c>
      <c r="U303" s="38" t="str">
        <f t="shared" si="3"/>
        <v/>
      </c>
      <c r="V303" s="32" t="str">
        <f t="shared" si="4"/>
        <v/>
      </c>
      <c r="W303" s="39" t="str">
        <f>IFERROR(__xludf.DUMMYFUNCTION(" IF(Account!$F303&lt;&gt;"""", SPLIT(Account!$F303, "" ""), """")"),"")</f>
        <v/>
      </c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</row>
    <row r="304">
      <c r="A304" s="12"/>
      <c r="B304" s="12"/>
      <c r="C304" s="12"/>
      <c r="D304" s="12"/>
      <c r="E304" s="12"/>
      <c r="F304" s="13"/>
      <c r="G304" s="12"/>
      <c r="H304" s="12"/>
      <c r="I304" s="12"/>
      <c r="J304" s="12"/>
      <c r="K304" s="12"/>
      <c r="L304" s="13"/>
      <c r="M304" s="30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2" t="str">
        <f>IFERROR(__xludf.DUMMYFUNCTION("IF(Account!$F304&lt;&gt;"""", VALUE(REGEXREPLACE($I304, ""\,"", ""."")), """")"),"")</f>
        <v/>
      </c>
      <c r="O304" s="33" t="str">
        <f>IF(Account!$F304&lt;&gt;"", DATEVALUE(MID($A304,4,3) &amp; LEFT($A304,3) &amp; RIGHT($A304,4)) + TIMEVALUE($B304), "")</f>
        <v/>
      </c>
      <c r="P304" s="34" t="str">
        <f>IF(Account!$F304&lt;&gt;"", DATEVALUE(MID($C304,4,3) &amp; LEFT($C304,3) &amp; RIGHT($C304,4)), "")</f>
        <v/>
      </c>
      <c r="Q304" s="35" t="str">
        <f t="array" ref="Q304">IF($R304&lt;&gt;"",IFERROR(INDEX(ISIN!$B:$B,MATCH($R304,ISIN!$C:$C,0))),)</f>
        <v/>
      </c>
      <c r="R304" s="36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5" t="str">
        <f t="shared" si="1"/>
        <v/>
      </c>
      <c r="T304" s="37" t="str">
        <f t="shared" si="2"/>
        <v/>
      </c>
      <c r="U304" s="38" t="str">
        <f t="shared" si="3"/>
        <v/>
      </c>
      <c r="V304" s="32" t="str">
        <f t="shared" si="4"/>
        <v/>
      </c>
      <c r="W304" s="39" t="str">
        <f>IFERROR(__xludf.DUMMYFUNCTION(" IF(Account!$F304&lt;&gt;"""", SPLIT(Account!$F304, "" ""), """")"),"")</f>
        <v/>
      </c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</row>
    <row r="305">
      <c r="A305" s="12"/>
      <c r="B305" s="12"/>
      <c r="C305" s="12"/>
      <c r="D305" s="12"/>
      <c r="E305" s="12"/>
      <c r="F305" s="13"/>
      <c r="G305" s="291"/>
      <c r="H305" s="12"/>
      <c r="I305" s="12"/>
      <c r="J305" s="12"/>
      <c r="K305" s="12"/>
      <c r="L305" s="13"/>
      <c r="M305" s="30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2" t="str">
        <f>IFERROR(__xludf.DUMMYFUNCTION("IF(Account!$F305&lt;&gt;"""", VALUE(REGEXREPLACE($I305, ""\,"", ""."")), """")"),"")</f>
        <v/>
      </c>
      <c r="O305" s="33" t="str">
        <f>IF(Account!$F305&lt;&gt;"", DATEVALUE(MID($A305,4,3) &amp; LEFT($A305,3) &amp; RIGHT($A305,4)) + TIMEVALUE($B305), "")</f>
        <v/>
      </c>
      <c r="P305" s="34" t="str">
        <f>IF(Account!$F305&lt;&gt;"", DATEVALUE(MID($C305,4,3) &amp; LEFT($C305,3) &amp; RIGHT($C305,4)), "")</f>
        <v/>
      </c>
      <c r="Q305" s="35" t="str">
        <f t="array" ref="Q305">IF($R305&lt;&gt;"",IFERROR(INDEX(ISIN!$B:$B,MATCH($R305,ISIN!$C:$C,0))),)</f>
        <v/>
      </c>
      <c r="R305" s="36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5" t="str">
        <f t="shared" si="1"/>
        <v/>
      </c>
      <c r="T305" s="37" t="str">
        <f t="shared" si="2"/>
        <v/>
      </c>
      <c r="U305" s="38" t="str">
        <f t="shared" si="3"/>
        <v/>
      </c>
      <c r="V305" s="32" t="str">
        <f t="shared" si="4"/>
        <v/>
      </c>
      <c r="W305" s="39" t="str">
        <f>IFERROR(__xludf.DUMMYFUNCTION(" IF(Account!$F305&lt;&gt;"""", SPLIT(Account!$F305, "" ""), """")"),"")</f>
        <v/>
      </c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</row>
    <row r="306">
      <c r="A306" s="12"/>
      <c r="B306" s="12"/>
      <c r="C306" s="12"/>
      <c r="D306" s="12"/>
      <c r="E306" s="12"/>
      <c r="F306" s="13"/>
      <c r="G306" s="12"/>
      <c r="H306" s="12"/>
      <c r="I306" s="12"/>
      <c r="J306" s="12"/>
      <c r="K306" s="12"/>
      <c r="L306" s="13"/>
      <c r="M306" s="30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2" t="str">
        <f>IFERROR(__xludf.DUMMYFUNCTION("IF(Account!$F306&lt;&gt;"""", VALUE(REGEXREPLACE($I306, ""\,"", ""."")), """")"),"")</f>
        <v/>
      </c>
      <c r="O306" s="33" t="str">
        <f>IF(Account!$F306&lt;&gt;"", DATEVALUE(MID($A306,4,3) &amp; LEFT($A306,3) &amp; RIGHT($A306,4)) + TIMEVALUE($B306), "")</f>
        <v/>
      </c>
      <c r="P306" s="34" t="str">
        <f>IF(Account!$F306&lt;&gt;"", DATEVALUE(MID($C306,4,3) &amp; LEFT($C306,3) &amp; RIGHT($C306,4)), "")</f>
        <v/>
      </c>
      <c r="Q306" s="35" t="str">
        <f t="array" ref="Q306">IF($R306&lt;&gt;"",IFERROR(INDEX(ISIN!$B:$B,MATCH($R306,ISIN!$C:$C,0))),)</f>
        <v/>
      </c>
      <c r="R306" s="36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5" t="str">
        <f t="shared" si="1"/>
        <v/>
      </c>
      <c r="T306" s="37" t="str">
        <f t="shared" si="2"/>
        <v/>
      </c>
      <c r="U306" s="38" t="str">
        <f t="shared" si="3"/>
        <v/>
      </c>
      <c r="V306" s="32" t="str">
        <f t="shared" si="4"/>
        <v/>
      </c>
      <c r="W306" s="39" t="str">
        <f>IFERROR(__xludf.DUMMYFUNCTION(" IF(Account!$F306&lt;&gt;"""", SPLIT(Account!$F306, "" ""), """")"),"")</f>
        <v/>
      </c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</row>
    <row r="307">
      <c r="A307" s="12"/>
      <c r="B307" s="12"/>
      <c r="C307" s="12"/>
      <c r="D307" s="12"/>
      <c r="E307" s="12"/>
      <c r="F307" s="13"/>
      <c r="G307" s="12"/>
      <c r="H307" s="12"/>
      <c r="I307" s="12"/>
      <c r="J307" s="12"/>
      <c r="K307" s="12"/>
      <c r="L307" s="13"/>
      <c r="M307" s="30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2" t="str">
        <f>IFERROR(__xludf.DUMMYFUNCTION("IF(Account!$F307&lt;&gt;"""", VALUE(REGEXREPLACE($I307, ""\,"", ""."")), """")"),"")</f>
        <v/>
      </c>
      <c r="O307" s="33" t="str">
        <f>IF(Account!$F307&lt;&gt;"", DATEVALUE(MID($A307,4,3) &amp; LEFT($A307,3) &amp; RIGHT($A307,4)) + TIMEVALUE($B307), "")</f>
        <v/>
      </c>
      <c r="P307" s="34" t="str">
        <f>IF(Account!$F307&lt;&gt;"", DATEVALUE(MID($C307,4,3) &amp; LEFT($C307,3) &amp; RIGHT($C307,4)), "")</f>
        <v/>
      </c>
      <c r="Q307" s="35" t="str">
        <f t="array" ref="Q307">IF($R307&lt;&gt;"",IFERROR(INDEX(ISIN!$B:$B,MATCH($R307,ISIN!$C:$C,0))),)</f>
        <v/>
      </c>
      <c r="R307" s="36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5" t="str">
        <f t="shared" si="1"/>
        <v/>
      </c>
      <c r="T307" s="37" t="str">
        <f t="shared" si="2"/>
        <v/>
      </c>
      <c r="U307" s="38" t="str">
        <f t="shared" si="3"/>
        <v/>
      </c>
      <c r="V307" s="32" t="str">
        <f t="shared" si="4"/>
        <v/>
      </c>
      <c r="W307" s="39" t="str">
        <f>IFERROR(__xludf.DUMMYFUNCTION(" IF(Account!$F307&lt;&gt;"""", SPLIT(Account!$F307, "" ""), """")"),"")</f>
        <v/>
      </c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</row>
    <row r="308">
      <c r="A308" s="12"/>
      <c r="B308" s="12"/>
      <c r="C308" s="12"/>
      <c r="D308" s="12"/>
      <c r="E308" s="12"/>
      <c r="F308" s="13"/>
      <c r="G308" s="12"/>
      <c r="H308" s="12"/>
      <c r="I308" s="12"/>
      <c r="J308" s="12"/>
      <c r="K308" s="12"/>
      <c r="L308" s="13"/>
      <c r="M308" s="30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2" t="str">
        <f>IFERROR(__xludf.DUMMYFUNCTION("IF(Account!$F308&lt;&gt;"""", VALUE(REGEXREPLACE($I308, ""\,"", ""."")), """")"),"")</f>
        <v/>
      </c>
      <c r="O308" s="33" t="str">
        <f>IF(Account!$F308&lt;&gt;"", DATEVALUE(MID($A308,4,3) &amp; LEFT($A308,3) &amp; RIGHT($A308,4)) + TIMEVALUE($B308), "")</f>
        <v/>
      </c>
      <c r="P308" s="34" t="str">
        <f>IF(Account!$F308&lt;&gt;"", DATEVALUE(MID($C308,4,3) &amp; LEFT($C308,3) &amp; RIGHT($C308,4)), "")</f>
        <v/>
      </c>
      <c r="Q308" s="35" t="str">
        <f t="array" ref="Q308">IF($R308&lt;&gt;"",IFERROR(INDEX(ISIN!$B:$B,MATCH($R308,ISIN!$C:$C,0))),)</f>
        <v/>
      </c>
      <c r="R308" s="36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5" t="str">
        <f t="shared" si="1"/>
        <v/>
      </c>
      <c r="T308" s="37" t="str">
        <f t="shared" si="2"/>
        <v/>
      </c>
      <c r="U308" s="38" t="str">
        <f t="shared" si="3"/>
        <v/>
      </c>
      <c r="V308" s="32" t="str">
        <f t="shared" si="4"/>
        <v/>
      </c>
      <c r="W308" s="39" t="str">
        <f>IFERROR(__xludf.DUMMYFUNCTION(" IF(Account!$F308&lt;&gt;"""", SPLIT(Account!$F308, "" ""), """")"),"")</f>
        <v/>
      </c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</row>
    <row r="309">
      <c r="A309" s="12"/>
      <c r="B309" s="12"/>
      <c r="C309" s="12"/>
      <c r="D309" s="12"/>
      <c r="E309" s="12"/>
      <c r="F309" s="13"/>
      <c r="G309" s="291"/>
      <c r="H309" s="12"/>
      <c r="I309" s="12"/>
      <c r="J309" s="12"/>
      <c r="K309" s="12"/>
      <c r="L309" s="13"/>
      <c r="M309" s="30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2" t="str">
        <f>IFERROR(__xludf.DUMMYFUNCTION("IF(Account!$F309&lt;&gt;"""", VALUE(REGEXREPLACE($I309, ""\,"", ""."")), """")"),"")</f>
        <v/>
      </c>
      <c r="O309" s="33" t="str">
        <f>IF(Account!$F309&lt;&gt;"", DATEVALUE(MID($A309,4,3) &amp; LEFT($A309,3) &amp; RIGHT($A309,4)) + TIMEVALUE($B309), "")</f>
        <v/>
      </c>
      <c r="P309" s="34" t="str">
        <f>IF(Account!$F309&lt;&gt;"", DATEVALUE(MID($C309,4,3) &amp; LEFT($C309,3) &amp; RIGHT($C309,4)), "")</f>
        <v/>
      </c>
      <c r="Q309" s="35" t="str">
        <f t="array" ref="Q309">IF($R309&lt;&gt;"",IFERROR(INDEX(ISIN!$B:$B,MATCH($R309,ISIN!$C:$C,0))),)</f>
        <v/>
      </c>
      <c r="R309" s="36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5" t="str">
        <f t="shared" si="1"/>
        <v/>
      </c>
      <c r="T309" s="37" t="str">
        <f t="shared" si="2"/>
        <v/>
      </c>
      <c r="U309" s="38" t="str">
        <f t="shared" si="3"/>
        <v/>
      </c>
      <c r="V309" s="32" t="str">
        <f t="shared" si="4"/>
        <v/>
      </c>
      <c r="W309" s="39" t="str">
        <f>IFERROR(__xludf.DUMMYFUNCTION(" IF(Account!$F309&lt;&gt;"""", SPLIT(Account!$F309, "" ""), """")"),"")</f>
        <v/>
      </c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</row>
    <row r="310">
      <c r="A310" s="12"/>
      <c r="B310" s="12"/>
      <c r="C310" s="12"/>
      <c r="D310" s="12"/>
      <c r="E310" s="12"/>
      <c r="F310" s="13"/>
      <c r="G310" s="12"/>
      <c r="H310" s="12"/>
      <c r="I310" s="12"/>
      <c r="J310" s="12"/>
      <c r="K310" s="12"/>
      <c r="L310" s="13"/>
      <c r="M310" s="30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2" t="str">
        <f>IFERROR(__xludf.DUMMYFUNCTION("IF(Account!$F310&lt;&gt;"""", VALUE(REGEXREPLACE($I310, ""\,"", ""."")), """")"),"")</f>
        <v/>
      </c>
      <c r="O310" s="33" t="str">
        <f>IF(Account!$F310&lt;&gt;"", DATEVALUE(MID($A310,4,3) &amp; LEFT($A310,3) &amp; RIGHT($A310,4)) + TIMEVALUE($B310), "")</f>
        <v/>
      </c>
      <c r="P310" s="34" t="str">
        <f>IF(Account!$F310&lt;&gt;"", DATEVALUE(MID($C310,4,3) &amp; LEFT($C310,3) &amp; RIGHT($C310,4)), "")</f>
        <v/>
      </c>
      <c r="Q310" s="35" t="str">
        <f t="array" ref="Q310">IF($R310&lt;&gt;"",IFERROR(INDEX(ISIN!$B:$B,MATCH($R310,ISIN!$C:$C,0))),)</f>
        <v/>
      </c>
      <c r="R310" s="36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5" t="str">
        <f t="shared" si="1"/>
        <v/>
      </c>
      <c r="T310" s="37" t="str">
        <f t="shared" si="2"/>
        <v/>
      </c>
      <c r="U310" s="38" t="str">
        <f t="shared" si="3"/>
        <v/>
      </c>
      <c r="V310" s="32" t="str">
        <f t="shared" si="4"/>
        <v/>
      </c>
      <c r="W310" s="39" t="str">
        <f>IFERROR(__xludf.DUMMYFUNCTION(" IF(Account!$F310&lt;&gt;"""", SPLIT(Account!$F310, "" ""), """")"),"")</f>
        <v/>
      </c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</row>
    <row r="311">
      <c r="A311" s="12"/>
      <c r="B311" s="12"/>
      <c r="C311" s="12"/>
      <c r="D311" s="12"/>
      <c r="E311" s="12"/>
      <c r="F311" s="13"/>
      <c r="G311" s="12"/>
      <c r="H311" s="12"/>
      <c r="I311" s="12"/>
      <c r="J311" s="12"/>
      <c r="K311" s="12"/>
      <c r="L311" s="13"/>
      <c r="M311" s="30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2" t="str">
        <f>IFERROR(__xludf.DUMMYFUNCTION("IF(Account!$F311&lt;&gt;"""", VALUE(REGEXREPLACE($I311, ""\,"", ""."")), """")"),"")</f>
        <v/>
      </c>
      <c r="O311" s="33" t="str">
        <f>IF(Account!$F311&lt;&gt;"", DATEVALUE(MID($A311,4,3) &amp; LEFT($A311,3) &amp; RIGHT($A311,4)) + TIMEVALUE($B311), "")</f>
        <v/>
      </c>
      <c r="P311" s="34" t="str">
        <f>IF(Account!$F311&lt;&gt;"", DATEVALUE(MID($C311,4,3) &amp; LEFT($C311,3) &amp; RIGHT($C311,4)), "")</f>
        <v/>
      </c>
      <c r="Q311" s="35" t="str">
        <f t="array" ref="Q311">IF($R311&lt;&gt;"",IFERROR(INDEX(ISIN!$B:$B,MATCH($R311,ISIN!$C:$C,0))),)</f>
        <v/>
      </c>
      <c r="R311" s="36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5" t="str">
        <f t="shared" si="1"/>
        <v/>
      </c>
      <c r="T311" s="37" t="str">
        <f t="shared" si="2"/>
        <v/>
      </c>
      <c r="U311" s="38" t="str">
        <f t="shared" si="3"/>
        <v/>
      </c>
      <c r="V311" s="32" t="str">
        <f t="shared" si="4"/>
        <v/>
      </c>
      <c r="W311" s="39" t="str">
        <f>IFERROR(__xludf.DUMMYFUNCTION(" IF(Account!$F311&lt;&gt;"""", SPLIT(Account!$F311, "" ""), """")"),"")</f>
        <v/>
      </c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</row>
    <row r="312">
      <c r="A312" s="12"/>
      <c r="B312" s="12"/>
      <c r="C312" s="12"/>
      <c r="D312" s="12"/>
      <c r="E312" s="12"/>
      <c r="F312" s="13"/>
      <c r="G312" s="291"/>
      <c r="H312" s="12"/>
      <c r="I312" s="12"/>
      <c r="J312" s="12"/>
      <c r="K312" s="12"/>
      <c r="L312" s="13"/>
      <c r="M312" s="30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2" t="str">
        <f>IFERROR(__xludf.DUMMYFUNCTION("IF(Account!$F312&lt;&gt;"""", VALUE(REGEXREPLACE($I312, ""\,"", ""."")), """")"),"")</f>
        <v/>
      </c>
      <c r="O312" s="33" t="str">
        <f>IF(Account!$F312&lt;&gt;"", DATEVALUE(MID($A312,4,3) &amp; LEFT($A312,3) &amp; RIGHT($A312,4)) + TIMEVALUE($B312), "")</f>
        <v/>
      </c>
      <c r="P312" s="34" t="str">
        <f>IF(Account!$F312&lt;&gt;"", DATEVALUE(MID($C312,4,3) &amp; LEFT($C312,3) &amp; RIGHT($C312,4)), "")</f>
        <v/>
      </c>
      <c r="Q312" s="35" t="str">
        <f t="array" ref="Q312">IF($R312&lt;&gt;"",IFERROR(INDEX(ISIN!$B:$B,MATCH($R312,ISIN!$C:$C,0))),)</f>
        <v/>
      </c>
      <c r="R312" s="36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5" t="str">
        <f t="shared" si="1"/>
        <v/>
      </c>
      <c r="T312" s="37" t="str">
        <f t="shared" si="2"/>
        <v/>
      </c>
      <c r="U312" s="38" t="str">
        <f t="shared" si="3"/>
        <v/>
      </c>
      <c r="V312" s="32" t="str">
        <f t="shared" si="4"/>
        <v/>
      </c>
      <c r="W312" s="39" t="str">
        <f>IFERROR(__xludf.DUMMYFUNCTION(" IF(Account!$F312&lt;&gt;"""", SPLIT(Account!$F312, "" ""), """")"),"")</f>
        <v/>
      </c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</row>
    <row r="313">
      <c r="A313" s="12"/>
      <c r="B313" s="12"/>
      <c r="C313" s="12"/>
      <c r="D313" s="12"/>
      <c r="E313" s="12"/>
      <c r="F313" s="13"/>
      <c r="G313" s="291"/>
      <c r="H313" s="12"/>
      <c r="I313" s="12"/>
      <c r="J313" s="12"/>
      <c r="K313" s="12"/>
      <c r="L313" s="13"/>
      <c r="M313" s="30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2" t="str">
        <f>IFERROR(__xludf.DUMMYFUNCTION("IF(Account!$F313&lt;&gt;"""", VALUE(REGEXREPLACE($I313, ""\,"", ""."")), """")"),"")</f>
        <v/>
      </c>
      <c r="O313" s="33" t="str">
        <f>IF(Account!$F313&lt;&gt;"", DATEVALUE(MID($A313,4,3) &amp; LEFT($A313,3) &amp; RIGHT($A313,4)) + TIMEVALUE($B313), "")</f>
        <v/>
      </c>
      <c r="P313" s="34" t="str">
        <f>IF(Account!$F313&lt;&gt;"", DATEVALUE(MID($C313,4,3) &amp; LEFT($C313,3) &amp; RIGHT($C313,4)), "")</f>
        <v/>
      </c>
      <c r="Q313" s="35" t="str">
        <f t="array" ref="Q313">IF($R313&lt;&gt;"",IFERROR(INDEX(ISIN!$B:$B,MATCH($R313,ISIN!$C:$C,0))),)</f>
        <v/>
      </c>
      <c r="R313" s="36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5" t="str">
        <f t="shared" si="1"/>
        <v/>
      </c>
      <c r="T313" s="37" t="str">
        <f t="shared" si="2"/>
        <v/>
      </c>
      <c r="U313" s="38" t="str">
        <f t="shared" si="3"/>
        <v/>
      </c>
      <c r="V313" s="32" t="str">
        <f t="shared" si="4"/>
        <v/>
      </c>
      <c r="W313" s="39" t="str">
        <f>IFERROR(__xludf.DUMMYFUNCTION(" IF(Account!$F313&lt;&gt;"""", SPLIT(Account!$F313, "" ""), """")"),"")</f>
        <v/>
      </c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</row>
    <row r="314">
      <c r="A314" s="12"/>
      <c r="B314" s="12"/>
      <c r="C314" s="12"/>
      <c r="D314" s="12"/>
      <c r="E314" s="12"/>
      <c r="F314" s="13"/>
      <c r="G314" s="291"/>
      <c r="H314" s="12"/>
      <c r="I314" s="12"/>
      <c r="J314" s="12"/>
      <c r="K314" s="12"/>
      <c r="L314" s="13"/>
      <c r="M314" s="30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2" t="str">
        <f>IFERROR(__xludf.DUMMYFUNCTION("IF(Account!$F314&lt;&gt;"""", VALUE(REGEXREPLACE($I314, ""\,"", ""."")), """")"),"")</f>
        <v/>
      </c>
      <c r="O314" s="33" t="str">
        <f>IF(Account!$F314&lt;&gt;"", DATEVALUE(MID($A314,4,3) &amp; LEFT($A314,3) &amp; RIGHT($A314,4)) + TIMEVALUE($B314), "")</f>
        <v/>
      </c>
      <c r="P314" s="34" t="str">
        <f>IF(Account!$F314&lt;&gt;"", DATEVALUE(MID($C314,4,3) &amp; LEFT($C314,3) &amp; RIGHT($C314,4)), "")</f>
        <v/>
      </c>
      <c r="Q314" s="35" t="str">
        <f t="array" ref="Q314">IF($R314&lt;&gt;"",IFERROR(INDEX(ISIN!$B:$B,MATCH($R314,ISIN!$C:$C,0))),)</f>
        <v/>
      </c>
      <c r="R314" s="36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5" t="str">
        <f t="shared" si="1"/>
        <v/>
      </c>
      <c r="T314" s="37" t="str">
        <f t="shared" si="2"/>
        <v/>
      </c>
      <c r="U314" s="38" t="str">
        <f t="shared" si="3"/>
        <v/>
      </c>
      <c r="V314" s="32" t="str">
        <f t="shared" si="4"/>
        <v/>
      </c>
      <c r="W314" s="39" t="str">
        <f>IFERROR(__xludf.DUMMYFUNCTION(" IF(Account!$F314&lt;&gt;"""", SPLIT(Account!$F314, "" ""), """")"),"")</f>
        <v/>
      </c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</row>
    <row r="315">
      <c r="A315" s="12"/>
      <c r="B315" s="12"/>
      <c r="C315" s="12"/>
      <c r="D315" s="12"/>
      <c r="E315" s="12"/>
      <c r="F315" s="13"/>
      <c r="G315" s="12"/>
      <c r="H315" s="12"/>
      <c r="I315" s="12"/>
      <c r="J315" s="12"/>
      <c r="K315" s="12"/>
      <c r="L315" s="13"/>
      <c r="M315" s="30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2" t="str">
        <f>IFERROR(__xludf.DUMMYFUNCTION("IF(Account!$F315&lt;&gt;"""", VALUE(REGEXREPLACE($I315, ""\,"", ""."")), """")"),"")</f>
        <v/>
      </c>
      <c r="O315" s="33" t="str">
        <f>IF(Account!$F315&lt;&gt;"", DATEVALUE(MID($A315,4,3) &amp; LEFT($A315,3) &amp; RIGHT($A315,4)) + TIMEVALUE($B315), "")</f>
        <v/>
      </c>
      <c r="P315" s="34" t="str">
        <f>IF(Account!$F315&lt;&gt;"", DATEVALUE(MID($C315,4,3) &amp; LEFT($C315,3) &amp; RIGHT($C315,4)), "")</f>
        <v/>
      </c>
      <c r="Q315" s="35" t="str">
        <f t="array" ref="Q315">IF($R315&lt;&gt;"",IFERROR(INDEX(ISIN!$B:$B,MATCH($R315,ISIN!$C:$C,0))),)</f>
        <v/>
      </c>
      <c r="R315" s="36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5" t="str">
        <f t="shared" si="1"/>
        <v/>
      </c>
      <c r="T315" s="37" t="str">
        <f t="shared" si="2"/>
        <v/>
      </c>
      <c r="U315" s="38" t="str">
        <f t="shared" si="3"/>
        <v/>
      </c>
      <c r="V315" s="32" t="str">
        <f t="shared" si="4"/>
        <v/>
      </c>
      <c r="W315" s="39" t="str">
        <f>IFERROR(__xludf.DUMMYFUNCTION(" IF(Account!$F315&lt;&gt;"""", SPLIT(Account!$F315, "" ""), """")"),"")</f>
        <v/>
      </c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</row>
    <row r="316">
      <c r="A316" s="12"/>
      <c r="B316" s="12"/>
      <c r="C316" s="12"/>
      <c r="D316" s="12"/>
      <c r="E316" s="12"/>
      <c r="F316" s="13"/>
      <c r="G316" s="291"/>
      <c r="H316" s="12"/>
      <c r="I316" s="12"/>
      <c r="J316" s="12"/>
      <c r="K316" s="12"/>
      <c r="L316" s="13"/>
      <c r="M316" s="30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2" t="str">
        <f>IFERROR(__xludf.DUMMYFUNCTION("IF(Account!$F316&lt;&gt;"""", VALUE(REGEXREPLACE($I316, ""\,"", ""."")), """")"),"")</f>
        <v/>
      </c>
      <c r="O316" s="33" t="str">
        <f>IF(Account!$F316&lt;&gt;"", DATEVALUE(MID($A316,4,3) &amp; LEFT($A316,3) &amp; RIGHT($A316,4)) + TIMEVALUE($B316), "")</f>
        <v/>
      </c>
      <c r="P316" s="34" t="str">
        <f>IF(Account!$F316&lt;&gt;"", DATEVALUE(MID($C316,4,3) &amp; LEFT($C316,3) &amp; RIGHT($C316,4)), "")</f>
        <v/>
      </c>
      <c r="Q316" s="35" t="str">
        <f t="array" ref="Q316">IF($R316&lt;&gt;"",IFERROR(INDEX(ISIN!$B:$B,MATCH($R316,ISIN!$C:$C,0))),)</f>
        <v/>
      </c>
      <c r="R316" s="36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5" t="str">
        <f t="shared" si="1"/>
        <v/>
      </c>
      <c r="T316" s="37" t="str">
        <f t="shared" si="2"/>
        <v/>
      </c>
      <c r="U316" s="38" t="str">
        <f t="shared" si="3"/>
        <v/>
      </c>
      <c r="V316" s="32" t="str">
        <f t="shared" si="4"/>
        <v/>
      </c>
      <c r="W316" s="39" t="str">
        <f>IFERROR(__xludf.DUMMYFUNCTION(" IF(Account!$F316&lt;&gt;"""", SPLIT(Account!$F316, "" ""), """")"),"")</f>
        <v/>
      </c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</row>
    <row r="317">
      <c r="A317" s="12"/>
      <c r="B317" s="12"/>
      <c r="C317" s="12"/>
      <c r="D317" s="12"/>
      <c r="E317" s="12"/>
      <c r="F317" s="13"/>
      <c r="G317" s="291"/>
      <c r="H317" s="12"/>
      <c r="I317" s="12"/>
      <c r="J317" s="12"/>
      <c r="K317" s="12"/>
      <c r="L317" s="13"/>
      <c r="M317" s="30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2" t="str">
        <f>IFERROR(__xludf.DUMMYFUNCTION("IF(Account!$F317&lt;&gt;"""", VALUE(REGEXREPLACE($I317, ""\,"", ""."")), """")"),"")</f>
        <v/>
      </c>
      <c r="O317" s="33" t="str">
        <f>IF(Account!$F317&lt;&gt;"", DATEVALUE(MID($A317,4,3) &amp; LEFT($A317,3) &amp; RIGHT($A317,4)) + TIMEVALUE($B317), "")</f>
        <v/>
      </c>
      <c r="P317" s="34" t="str">
        <f>IF(Account!$F317&lt;&gt;"", DATEVALUE(MID($C317,4,3) &amp; LEFT($C317,3) &amp; RIGHT($C317,4)), "")</f>
        <v/>
      </c>
      <c r="Q317" s="35" t="str">
        <f t="array" ref="Q317">IF($R317&lt;&gt;"",IFERROR(INDEX(ISIN!$B:$B,MATCH($R317,ISIN!$C:$C,0))),)</f>
        <v/>
      </c>
      <c r="R317" s="36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5" t="str">
        <f t="shared" si="1"/>
        <v/>
      </c>
      <c r="T317" s="37" t="str">
        <f t="shared" si="2"/>
        <v/>
      </c>
      <c r="U317" s="38" t="str">
        <f t="shared" si="3"/>
        <v/>
      </c>
      <c r="V317" s="32" t="str">
        <f t="shared" si="4"/>
        <v/>
      </c>
      <c r="W317" s="39" t="str">
        <f>IFERROR(__xludf.DUMMYFUNCTION(" IF(Account!$F317&lt;&gt;"""", SPLIT(Account!$F317, "" ""), """")"),"")</f>
        <v/>
      </c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</row>
    <row r="318">
      <c r="A318" s="12"/>
      <c r="B318" s="12"/>
      <c r="C318" s="12"/>
      <c r="D318" s="12"/>
      <c r="E318" s="12"/>
      <c r="F318" s="13"/>
      <c r="G318" s="291"/>
      <c r="H318" s="12"/>
      <c r="I318" s="12"/>
      <c r="J318" s="12"/>
      <c r="K318" s="12"/>
      <c r="L318" s="13"/>
      <c r="M318" s="30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2" t="str">
        <f>IFERROR(__xludf.DUMMYFUNCTION("IF(Account!$F318&lt;&gt;"""", VALUE(REGEXREPLACE($I318, ""\,"", ""."")), """")"),"")</f>
        <v/>
      </c>
      <c r="O318" s="33" t="str">
        <f>IF(Account!$F318&lt;&gt;"", DATEVALUE(MID($A318,4,3) &amp; LEFT($A318,3) &amp; RIGHT($A318,4)) + TIMEVALUE($B318), "")</f>
        <v/>
      </c>
      <c r="P318" s="34" t="str">
        <f>IF(Account!$F318&lt;&gt;"", DATEVALUE(MID($C318,4,3) &amp; LEFT($C318,3) &amp; RIGHT($C318,4)), "")</f>
        <v/>
      </c>
      <c r="Q318" s="35" t="str">
        <f t="array" ref="Q318">IF($R318&lt;&gt;"",IFERROR(INDEX(ISIN!$B:$B,MATCH($R318,ISIN!$C:$C,0))),)</f>
        <v/>
      </c>
      <c r="R318" s="36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5" t="str">
        <f t="shared" si="1"/>
        <v/>
      </c>
      <c r="T318" s="37" t="str">
        <f t="shared" si="2"/>
        <v/>
      </c>
      <c r="U318" s="38" t="str">
        <f t="shared" si="3"/>
        <v/>
      </c>
      <c r="V318" s="32" t="str">
        <f t="shared" si="4"/>
        <v/>
      </c>
      <c r="W318" s="39" t="str">
        <f>IFERROR(__xludf.DUMMYFUNCTION(" IF(Account!$F318&lt;&gt;"""", SPLIT(Account!$F318, "" ""), """")"),"")</f>
        <v/>
      </c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</row>
    <row r="319">
      <c r="A319" s="12"/>
      <c r="B319" s="12"/>
      <c r="C319" s="12"/>
      <c r="D319" s="12"/>
      <c r="E319" s="12"/>
      <c r="F319" s="13"/>
      <c r="G319" s="291"/>
      <c r="H319" s="12"/>
      <c r="I319" s="12"/>
      <c r="J319" s="12"/>
      <c r="K319" s="12"/>
      <c r="L319" s="13"/>
      <c r="M319" s="30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2" t="str">
        <f>IFERROR(__xludf.DUMMYFUNCTION("IF(Account!$F319&lt;&gt;"""", VALUE(REGEXREPLACE($I319, ""\,"", ""."")), """")"),"")</f>
        <v/>
      </c>
      <c r="O319" s="33" t="str">
        <f>IF(Account!$F319&lt;&gt;"", DATEVALUE(MID($A319,4,3) &amp; LEFT($A319,3) &amp; RIGHT($A319,4)) + TIMEVALUE($B319), "")</f>
        <v/>
      </c>
      <c r="P319" s="34" t="str">
        <f>IF(Account!$F319&lt;&gt;"", DATEVALUE(MID($C319,4,3) &amp; LEFT($C319,3) &amp; RIGHT($C319,4)), "")</f>
        <v/>
      </c>
      <c r="Q319" s="35" t="str">
        <f t="array" ref="Q319">IF($R319&lt;&gt;"",IFERROR(INDEX(ISIN!$B:$B,MATCH($R319,ISIN!$C:$C,0))),)</f>
        <v/>
      </c>
      <c r="R319" s="36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5" t="str">
        <f t="shared" si="1"/>
        <v/>
      </c>
      <c r="T319" s="37" t="str">
        <f t="shared" si="2"/>
        <v/>
      </c>
      <c r="U319" s="38" t="str">
        <f t="shared" si="3"/>
        <v/>
      </c>
      <c r="V319" s="32" t="str">
        <f t="shared" si="4"/>
        <v/>
      </c>
      <c r="W319" s="39" t="str">
        <f>IFERROR(__xludf.DUMMYFUNCTION(" IF(Account!$F319&lt;&gt;"""", SPLIT(Account!$F319, "" ""), """")"),"")</f>
        <v/>
      </c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</row>
    <row r="320">
      <c r="A320" s="12"/>
      <c r="B320" s="12"/>
      <c r="C320" s="12"/>
      <c r="D320" s="12"/>
      <c r="E320" s="12"/>
      <c r="F320" s="13"/>
      <c r="G320" s="291"/>
      <c r="H320" s="12"/>
      <c r="I320" s="12"/>
      <c r="J320" s="12"/>
      <c r="K320" s="12"/>
      <c r="L320" s="13"/>
      <c r="M320" s="30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2" t="str">
        <f>IFERROR(__xludf.DUMMYFUNCTION("IF(Account!$F320&lt;&gt;"""", VALUE(REGEXREPLACE($I320, ""\,"", ""."")), """")"),"")</f>
        <v/>
      </c>
      <c r="O320" s="33" t="str">
        <f>IF(Account!$F320&lt;&gt;"", DATEVALUE(MID($A320,4,3) &amp; LEFT($A320,3) &amp; RIGHT($A320,4)) + TIMEVALUE($B320), "")</f>
        <v/>
      </c>
      <c r="P320" s="34" t="str">
        <f>IF(Account!$F320&lt;&gt;"", DATEVALUE(MID($C320,4,3) &amp; LEFT($C320,3) &amp; RIGHT($C320,4)), "")</f>
        <v/>
      </c>
      <c r="Q320" s="35" t="str">
        <f t="array" ref="Q320">IF($R320&lt;&gt;"",IFERROR(INDEX(ISIN!$B:$B,MATCH($R320,ISIN!$C:$C,0))),)</f>
        <v/>
      </c>
      <c r="R320" s="36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5" t="str">
        <f t="shared" si="1"/>
        <v/>
      </c>
      <c r="T320" s="37" t="str">
        <f t="shared" si="2"/>
        <v/>
      </c>
      <c r="U320" s="38" t="str">
        <f t="shared" si="3"/>
        <v/>
      </c>
      <c r="V320" s="32" t="str">
        <f t="shared" si="4"/>
        <v/>
      </c>
      <c r="W320" s="39" t="str">
        <f>IFERROR(__xludf.DUMMYFUNCTION(" IF(Account!$F320&lt;&gt;"""", SPLIT(Account!$F320, "" ""), """")"),"")</f>
        <v/>
      </c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</row>
    <row r="321">
      <c r="A321" s="12"/>
      <c r="B321" s="12"/>
      <c r="C321" s="12"/>
      <c r="D321" s="12"/>
      <c r="E321" s="12"/>
      <c r="F321" s="13"/>
      <c r="G321" s="12"/>
      <c r="H321" s="12"/>
      <c r="I321" s="12"/>
      <c r="J321" s="12"/>
      <c r="K321" s="12"/>
      <c r="L321" s="13"/>
      <c r="M321" s="30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2" t="str">
        <f>IFERROR(__xludf.DUMMYFUNCTION("IF(Account!$F321&lt;&gt;"""", VALUE(REGEXREPLACE($I321, ""\,"", ""."")), """")"),"")</f>
        <v/>
      </c>
      <c r="O321" s="33" t="str">
        <f>IF(Account!$F321&lt;&gt;"", DATEVALUE(MID($A321,4,3) &amp; LEFT($A321,3) &amp; RIGHT($A321,4)) + TIMEVALUE($B321), "")</f>
        <v/>
      </c>
      <c r="P321" s="34" t="str">
        <f>IF(Account!$F321&lt;&gt;"", DATEVALUE(MID($C321,4,3) &amp; LEFT($C321,3) &amp; RIGHT($C321,4)), "")</f>
        <v/>
      </c>
      <c r="Q321" s="35" t="str">
        <f t="array" ref="Q321">IF($R321&lt;&gt;"",IFERROR(INDEX(ISIN!$B:$B,MATCH($R321,ISIN!$C:$C,0))),)</f>
        <v/>
      </c>
      <c r="R321" s="36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5" t="str">
        <f t="shared" si="1"/>
        <v/>
      </c>
      <c r="T321" s="37" t="str">
        <f t="shared" si="2"/>
        <v/>
      </c>
      <c r="U321" s="38" t="str">
        <f t="shared" si="3"/>
        <v/>
      </c>
      <c r="V321" s="32" t="str">
        <f t="shared" si="4"/>
        <v/>
      </c>
      <c r="W321" s="39" t="str">
        <f>IFERROR(__xludf.DUMMYFUNCTION(" IF(Account!$F321&lt;&gt;"""", SPLIT(Account!$F321, "" ""), """")"),"")</f>
        <v/>
      </c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</row>
    <row r="322">
      <c r="A322" s="12"/>
      <c r="B322" s="12"/>
      <c r="C322" s="12"/>
      <c r="D322" s="12"/>
      <c r="E322" s="12"/>
      <c r="F322" s="13"/>
      <c r="G322" s="291"/>
      <c r="H322" s="12"/>
      <c r="I322" s="12"/>
      <c r="J322" s="12"/>
      <c r="K322" s="12"/>
      <c r="L322" s="13"/>
      <c r="M322" s="30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2" t="str">
        <f>IFERROR(__xludf.DUMMYFUNCTION("IF(Account!$F322&lt;&gt;"""", VALUE(REGEXREPLACE($I322, ""\,"", ""."")), """")"),"")</f>
        <v/>
      </c>
      <c r="O322" s="33" t="str">
        <f>IF(Account!$F322&lt;&gt;"", DATEVALUE(MID($A322,4,3) &amp; LEFT($A322,3) &amp; RIGHT($A322,4)) + TIMEVALUE($B322), "")</f>
        <v/>
      </c>
      <c r="P322" s="34" t="str">
        <f>IF(Account!$F322&lt;&gt;"", DATEVALUE(MID($C322,4,3) &amp; LEFT($C322,3) &amp; RIGHT($C322,4)), "")</f>
        <v/>
      </c>
      <c r="Q322" s="35" t="str">
        <f t="array" ref="Q322">IF($R322&lt;&gt;"",IFERROR(INDEX(ISIN!$B:$B,MATCH($R322,ISIN!$C:$C,0))),)</f>
        <v/>
      </c>
      <c r="R322" s="36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5" t="str">
        <f t="shared" si="1"/>
        <v/>
      </c>
      <c r="T322" s="37" t="str">
        <f t="shared" si="2"/>
        <v/>
      </c>
      <c r="U322" s="38" t="str">
        <f t="shared" si="3"/>
        <v/>
      </c>
      <c r="V322" s="32" t="str">
        <f t="shared" si="4"/>
        <v/>
      </c>
      <c r="W322" s="39" t="str">
        <f>IFERROR(__xludf.DUMMYFUNCTION(" IF(Account!$F322&lt;&gt;"""", SPLIT(Account!$F322, "" ""), """")"),"")</f>
        <v/>
      </c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</row>
    <row r="323">
      <c r="A323" s="12"/>
      <c r="B323" s="12"/>
      <c r="C323" s="12"/>
      <c r="D323" s="12"/>
      <c r="E323" s="12"/>
      <c r="F323" s="13"/>
      <c r="G323" s="12"/>
      <c r="H323" s="12"/>
      <c r="I323" s="12"/>
      <c r="J323" s="12"/>
      <c r="K323" s="12"/>
      <c r="L323" s="13"/>
      <c r="M323" s="30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2" t="str">
        <f>IFERROR(__xludf.DUMMYFUNCTION("IF(Account!$F323&lt;&gt;"""", VALUE(REGEXREPLACE($I323, ""\,"", ""."")), """")"),"")</f>
        <v/>
      </c>
      <c r="O323" s="33" t="str">
        <f>IF(Account!$F323&lt;&gt;"", DATEVALUE(MID($A323,4,3) &amp; LEFT($A323,3) &amp; RIGHT($A323,4)) + TIMEVALUE($B323), "")</f>
        <v/>
      </c>
      <c r="P323" s="34" t="str">
        <f>IF(Account!$F323&lt;&gt;"", DATEVALUE(MID($C323,4,3) &amp; LEFT($C323,3) &amp; RIGHT($C323,4)), "")</f>
        <v/>
      </c>
      <c r="Q323" s="35" t="str">
        <f t="array" ref="Q323">IF($R323&lt;&gt;"",IFERROR(INDEX(ISIN!$B:$B,MATCH($R323,ISIN!$C:$C,0))),)</f>
        <v/>
      </c>
      <c r="R323" s="36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5" t="str">
        <f t="shared" si="1"/>
        <v/>
      </c>
      <c r="T323" s="37" t="str">
        <f t="shared" si="2"/>
        <v/>
      </c>
      <c r="U323" s="38" t="str">
        <f t="shared" si="3"/>
        <v/>
      </c>
      <c r="V323" s="32" t="str">
        <f t="shared" si="4"/>
        <v/>
      </c>
      <c r="W323" s="39" t="str">
        <f>IFERROR(__xludf.DUMMYFUNCTION(" IF(Account!$F323&lt;&gt;"""", SPLIT(Account!$F323, "" ""), """")"),"")</f>
        <v/>
      </c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</row>
    <row r="324">
      <c r="A324" s="12"/>
      <c r="B324" s="12"/>
      <c r="C324" s="12"/>
      <c r="D324" s="12"/>
      <c r="E324" s="12"/>
      <c r="F324" s="13"/>
      <c r="G324" s="12"/>
      <c r="H324" s="12"/>
      <c r="I324" s="12"/>
      <c r="J324" s="12"/>
      <c r="K324" s="12"/>
      <c r="L324" s="13"/>
      <c r="M324" s="30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2" t="str">
        <f>IFERROR(__xludf.DUMMYFUNCTION("IF(Account!$F324&lt;&gt;"""", VALUE(REGEXREPLACE($I324, ""\,"", ""."")), """")"),"")</f>
        <v/>
      </c>
      <c r="O324" s="33" t="str">
        <f>IF(Account!$F324&lt;&gt;"", DATEVALUE(MID($A324,4,3) &amp; LEFT($A324,3) &amp; RIGHT($A324,4)) + TIMEVALUE($B324), "")</f>
        <v/>
      </c>
      <c r="P324" s="34" t="str">
        <f>IF(Account!$F324&lt;&gt;"", DATEVALUE(MID($C324,4,3) &amp; LEFT($C324,3) &amp; RIGHT($C324,4)), "")</f>
        <v/>
      </c>
      <c r="Q324" s="35" t="str">
        <f t="array" ref="Q324">IF($R324&lt;&gt;"",IFERROR(INDEX(ISIN!$B:$B,MATCH($R324,ISIN!$C:$C,0))),)</f>
        <v/>
      </c>
      <c r="R324" s="36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5" t="str">
        <f t="shared" si="1"/>
        <v/>
      </c>
      <c r="T324" s="37" t="str">
        <f t="shared" si="2"/>
        <v/>
      </c>
      <c r="U324" s="38" t="str">
        <f t="shared" si="3"/>
        <v/>
      </c>
      <c r="V324" s="32" t="str">
        <f t="shared" si="4"/>
        <v/>
      </c>
      <c r="W324" s="39" t="str">
        <f>IFERROR(__xludf.DUMMYFUNCTION(" IF(Account!$F324&lt;&gt;"""", SPLIT(Account!$F324, "" ""), """")"),"")</f>
        <v/>
      </c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</row>
    <row r="325">
      <c r="A325" s="12"/>
      <c r="B325" s="12"/>
      <c r="C325" s="12"/>
      <c r="D325" s="12"/>
      <c r="E325" s="12"/>
      <c r="F325" s="13"/>
      <c r="G325" s="12"/>
      <c r="H325" s="12"/>
      <c r="I325" s="12"/>
      <c r="J325" s="12"/>
      <c r="K325" s="12"/>
      <c r="L325" s="13"/>
      <c r="M325" s="30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2" t="str">
        <f>IFERROR(__xludf.DUMMYFUNCTION("IF(Account!$F325&lt;&gt;"""", VALUE(REGEXREPLACE($I325, ""\,"", ""."")), """")"),"")</f>
        <v/>
      </c>
      <c r="O325" s="33" t="str">
        <f>IF(Account!$F325&lt;&gt;"", DATEVALUE(MID($A325,4,3) &amp; LEFT($A325,3) &amp; RIGHT($A325,4)) + TIMEVALUE($B325), "")</f>
        <v/>
      </c>
      <c r="P325" s="34" t="str">
        <f>IF(Account!$F325&lt;&gt;"", DATEVALUE(MID($C325,4,3) &amp; LEFT($C325,3) &amp; RIGHT($C325,4)), "")</f>
        <v/>
      </c>
      <c r="Q325" s="35" t="str">
        <f t="array" ref="Q325">IF($R325&lt;&gt;"",IFERROR(INDEX(ISIN!$B:$B,MATCH($R325,ISIN!$C:$C,0))),)</f>
        <v/>
      </c>
      <c r="R325" s="36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5" t="str">
        <f t="shared" si="1"/>
        <v/>
      </c>
      <c r="T325" s="37" t="str">
        <f t="shared" si="2"/>
        <v/>
      </c>
      <c r="U325" s="38" t="str">
        <f t="shared" si="3"/>
        <v/>
      </c>
      <c r="V325" s="32" t="str">
        <f t="shared" si="4"/>
        <v/>
      </c>
      <c r="W325" s="39" t="str">
        <f>IFERROR(__xludf.DUMMYFUNCTION(" IF(Account!$F325&lt;&gt;"""", SPLIT(Account!$F325, "" ""), """")"),"")</f>
        <v/>
      </c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</row>
    <row r="326">
      <c r="A326" s="12"/>
      <c r="B326" s="12"/>
      <c r="C326" s="12"/>
      <c r="D326" s="12"/>
      <c r="E326" s="12"/>
      <c r="F326" s="13"/>
      <c r="G326" s="12"/>
      <c r="H326" s="12"/>
      <c r="I326" s="12"/>
      <c r="J326" s="12"/>
      <c r="K326" s="12"/>
      <c r="L326" s="13"/>
      <c r="M326" s="30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2" t="str">
        <f>IFERROR(__xludf.DUMMYFUNCTION("IF(Account!$F326&lt;&gt;"""", VALUE(REGEXREPLACE($I326, ""\,"", ""."")), """")"),"")</f>
        <v/>
      </c>
      <c r="O326" s="33" t="str">
        <f>IF(Account!$F326&lt;&gt;"", DATEVALUE(MID($A326,4,3) &amp; LEFT($A326,3) &amp; RIGHT($A326,4)) + TIMEVALUE($B326), "")</f>
        <v/>
      </c>
      <c r="P326" s="34" t="str">
        <f>IF(Account!$F326&lt;&gt;"", DATEVALUE(MID($C326,4,3) &amp; LEFT($C326,3) &amp; RIGHT($C326,4)), "")</f>
        <v/>
      </c>
      <c r="Q326" s="35" t="str">
        <f t="array" ref="Q326">IF($R326&lt;&gt;"",IFERROR(INDEX(ISIN!$B:$B,MATCH($R326,ISIN!$C:$C,0))),)</f>
        <v/>
      </c>
      <c r="R326" s="36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5" t="str">
        <f t="shared" si="1"/>
        <v/>
      </c>
      <c r="T326" s="37" t="str">
        <f t="shared" si="2"/>
        <v/>
      </c>
      <c r="U326" s="38" t="str">
        <f t="shared" si="3"/>
        <v/>
      </c>
      <c r="V326" s="32" t="str">
        <f t="shared" si="4"/>
        <v/>
      </c>
      <c r="W326" s="39" t="str">
        <f>IFERROR(__xludf.DUMMYFUNCTION(" IF(Account!$F326&lt;&gt;"""", SPLIT(Account!$F326, "" ""), """")"),"")</f>
        <v/>
      </c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</row>
    <row r="327">
      <c r="A327" s="12"/>
      <c r="B327" s="12"/>
      <c r="C327" s="12"/>
      <c r="D327" s="12"/>
      <c r="E327" s="12"/>
      <c r="F327" s="13"/>
      <c r="G327" s="12"/>
      <c r="H327" s="12"/>
      <c r="I327" s="12"/>
      <c r="J327" s="12"/>
      <c r="K327" s="12"/>
      <c r="L327" s="13"/>
      <c r="M327" s="30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2" t="str">
        <f>IFERROR(__xludf.DUMMYFUNCTION("IF(Account!$F327&lt;&gt;"""", VALUE(REGEXREPLACE($I327, ""\,"", ""."")), """")"),"")</f>
        <v/>
      </c>
      <c r="O327" s="33" t="str">
        <f>IF(Account!$F327&lt;&gt;"", DATEVALUE(MID($A327,4,3) &amp; LEFT($A327,3) &amp; RIGHT($A327,4)) + TIMEVALUE($B327), "")</f>
        <v/>
      </c>
      <c r="P327" s="34" t="str">
        <f>IF(Account!$F327&lt;&gt;"", DATEVALUE(MID($C327,4,3) &amp; LEFT($C327,3) &amp; RIGHT($C327,4)), "")</f>
        <v/>
      </c>
      <c r="Q327" s="35" t="str">
        <f t="array" ref="Q327">IF($R327&lt;&gt;"",IFERROR(INDEX(ISIN!$B:$B,MATCH($R327,ISIN!$C:$C,0))),)</f>
        <v/>
      </c>
      <c r="R327" s="36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5" t="str">
        <f t="shared" si="1"/>
        <v/>
      </c>
      <c r="T327" s="37" t="str">
        <f t="shared" si="2"/>
        <v/>
      </c>
      <c r="U327" s="38" t="str">
        <f t="shared" si="3"/>
        <v/>
      </c>
      <c r="V327" s="32" t="str">
        <f t="shared" si="4"/>
        <v/>
      </c>
      <c r="W327" s="39" t="str">
        <f>IFERROR(__xludf.DUMMYFUNCTION(" IF(Account!$F327&lt;&gt;"""", SPLIT(Account!$F327, "" ""), """")"),"")</f>
        <v/>
      </c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</row>
    <row r="328">
      <c r="A328" s="12"/>
      <c r="B328" s="12"/>
      <c r="C328" s="12"/>
      <c r="D328" s="12"/>
      <c r="E328" s="12"/>
      <c r="F328" s="13"/>
      <c r="G328" s="12"/>
      <c r="H328" s="12"/>
      <c r="I328" s="12"/>
      <c r="J328" s="12"/>
      <c r="K328" s="12"/>
      <c r="L328" s="13"/>
      <c r="M328" s="30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2" t="str">
        <f>IFERROR(__xludf.DUMMYFUNCTION("IF(Account!$F328&lt;&gt;"""", VALUE(REGEXREPLACE($I328, ""\,"", ""."")), """")"),"")</f>
        <v/>
      </c>
      <c r="O328" s="33" t="str">
        <f>IF(Account!$F328&lt;&gt;"", DATEVALUE(MID($A328,4,3) &amp; LEFT($A328,3) &amp; RIGHT($A328,4)) + TIMEVALUE($B328), "")</f>
        <v/>
      </c>
      <c r="P328" s="34" t="str">
        <f>IF(Account!$F328&lt;&gt;"", DATEVALUE(MID($C328,4,3) &amp; LEFT($C328,3) &amp; RIGHT($C328,4)), "")</f>
        <v/>
      </c>
      <c r="Q328" s="35" t="str">
        <f t="array" ref="Q328">IF($R328&lt;&gt;"",IFERROR(INDEX(ISIN!$B:$B,MATCH($R328,ISIN!$C:$C,0))),)</f>
        <v/>
      </c>
      <c r="R328" s="36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5" t="str">
        <f t="shared" si="1"/>
        <v/>
      </c>
      <c r="T328" s="37" t="str">
        <f t="shared" si="2"/>
        <v/>
      </c>
      <c r="U328" s="38" t="str">
        <f t="shared" si="3"/>
        <v/>
      </c>
      <c r="V328" s="32" t="str">
        <f t="shared" si="4"/>
        <v/>
      </c>
      <c r="W328" s="39" t="str">
        <f>IFERROR(__xludf.DUMMYFUNCTION(" IF(Account!$F328&lt;&gt;"""", SPLIT(Account!$F328, "" ""), """")"),"")</f>
        <v/>
      </c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</row>
    <row r="329">
      <c r="A329" s="12"/>
      <c r="B329" s="12"/>
      <c r="C329" s="12"/>
      <c r="D329" s="12"/>
      <c r="E329" s="12"/>
      <c r="F329" s="13"/>
      <c r="G329" s="12"/>
      <c r="H329" s="12"/>
      <c r="I329" s="12"/>
      <c r="J329" s="12"/>
      <c r="K329" s="12"/>
      <c r="L329" s="13"/>
      <c r="M329" s="30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2" t="str">
        <f>IFERROR(__xludf.DUMMYFUNCTION("IF(Account!$F329&lt;&gt;"""", VALUE(REGEXREPLACE($I329, ""\,"", ""."")), """")"),"")</f>
        <v/>
      </c>
      <c r="O329" s="33" t="str">
        <f>IF(Account!$F329&lt;&gt;"", DATEVALUE(MID($A329,4,3) &amp; LEFT($A329,3) &amp; RIGHT($A329,4)) + TIMEVALUE($B329), "")</f>
        <v/>
      </c>
      <c r="P329" s="34" t="str">
        <f>IF(Account!$F329&lt;&gt;"", DATEVALUE(MID($C329,4,3) &amp; LEFT($C329,3) &amp; RIGHT($C329,4)), "")</f>
        <v/>
      </c>
      <c r="Q329" s="35" t="str">
        <f t="array" ref="Q329">IF($R329&lt;&gt;"",IFERROR(INDEX(ISIN!$B:$B,MATCH($R329,ISIN!$C:$C,0))),)</f>
        <v/>
      </c>
      <c r="R329" s="36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5" t="str">
        <f t="shared" si="1"/>
        <v/>
      </c>
      <c r="T329" s="37" t="str">
        <f t="shared" si="2"/>
        <v/>
      </c>
      <c r="U329" s="38" t="str">
        <f t="shared" si="3"/>
        <v/>
      </c>
      <c r="V329" s="32" t="str">
        <f t="shared" si="4"/>
        <v/>
      </c>
      <c r="W329" s="39" t="str">
        <f>IFERROR(__xludf.DUMMYFUNCTION(" IF(Account!$F329&lt;&gt;"""", SPLIT(Account!$F329, "" ""), """")"),"")</f>
        <v/>
      </c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</row>
    <row r="330">
      <c r="A330" s="12"/>
      <c r="B330" s="12"/>
      <c r="C330" s="12"/>
      <c r="D330" s="12"/>
      <c r="E330" s="12"/>
      <c r="F330" s="13"/>
      <c r="G330" s="12"/>
      <c r="H330" s="12"/>
      <c r="I330" s="12"/>
      <c r="J330" s="12"/>
      <c r="K330" s="12"/>
      <c r="L330" s="13"/>
      <c r="M330" s="30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2" t="str">
        <f>IFERROR(__xludf.DUMMYFUNCTION("IF(Account!$F330&lt;&gt;"""", VALUE(REGEXREPLACE($I330, ""\,"", ""."")), """")"),"")</f>
        <v/>
      </c>
      <c r="O330" s="33" t="str">
        <f>IF(Account!$F330&lt;&gt;"", DATEVALUE(MID($A330,4,3) &amp; LEFT($A330,3) &amp; RIGHT($A330,4)) + TIMEVALUE($B330), "")</f>
        <v/>
      </c>
      <c r="P330" s="34" t="str">
        <f>IF(Account!$F330&lt;&gt;"", DATEVALUE(MID($C330,4,3) &amp; LEFT($C330,3) &amp; RIGHT($C330,4)), "")</f>
        <v/>
      </c>
      <c r="Q330" s="35" t="str">
        <f t="array" ref="Q330">IF($R330&lt;&gt;"",IFERROR(INDEX(ISIN!$B:$B,MATCH($R330,ISIN!$C:$C,0))),)</f>
        <v/>
      </c>
      <c r="R330" s="36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5" t="str">
        <f t="shared" si="1"/>
        <v/>
      </c>
      <c r="T330" s="37" t="str">
        <f t="shared" si="2"/>
        <v/>
      </c>
      <c r="U330" s="38" t="str">
        <f t="shared" si="3"/>
        <v/>
      </c>
      <c r="V330" s="32" t="str">
        <f t="shared" si="4"/>
        <v/>
      </c>
      <c r="W330" s="39" t="str">
        <f>IFERROR(__xludf.DUMMYFUNCTION(" IF(Account!$F330&lt;&gt;"""", SPLIT(Account!$F330, "" ""), """")"),"")</f>
        <v/>
      </c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</row>
    <row r="331">
      <c r="A331" s="12"/>
      <c r="B331" s="12"/>
      <c r="C331" s="12"/>
      <c r="D331" s="12"/>
      <c r="E331" s="12"/>
      <c r="F331" s="13"/>
      <c r="G331" s="12"/>
      <c r="H331" s="12"/>
      <c r="I331" s="12"/>
      <c r="J331" s="12"/>
      <c r="K331" s="12"/>
      <c r="L331" s="13"/>
      <c r="M331" s="30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2" t="str">
        <f>IFERROR(__xludf.DUMMYFUNCTION("IF(Account!$F331&lt;&gt;"""", VALUE(REGEXREPLACE($I331, ""\,"", ""."")), """")"),"")</f>
        <v/>
      </c>
      <c r="O331" s="33" t="str">
        <f>IF(Account!$F331&lt;&gt;"", DATEVALUE(MID($A331,4,3) &amp; LEFT($A331,3) &amp; RIGHT($A331,4)) + TIMEVALUE($B331), "")</f>
        <v/>
      </c>
      <c r="P331" s="34" t="str">
        <f>IF(Account!$F331&lt;&gt;"", DATEVALUE(MID($C331,4,3) &amp; LEFT($C331,3) &amp; RIGHT($C331,4)), "")</f>
        <v/>
      </c>
      <c r="Q331" s="35" t="str">
        <f t="array" ref="Q331">IF($R331&lt;&gt;"",IFERROR(INDEX(ISIN!$B:$B,MATCH($R331,ISIN!$C:$C,0))),)</f>
        <v/>
      </c>
      <c r="R331" s="36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5" t="str">
        <f t="shared" si="1"/>
        <v/>
      </c>
      <c r="T331" s="37" t="str">
        <f t="shared" si="2"/>
        <v/>
      </c>
      <c r="U331" s="38" t="str">
        <f t="shared" si="3"/>
        <v/>
      </c>
      <c r="V331" s="32" t="str">
        <f t="shared" si="4"/>
        <v/>
      </c>
      <c r="W331" s="39" t="str">
        <f>IFERROR(__xludf.DUMMYFUNCTION(" IF(Account!$F331&lt;&gt;"""", SPLIT(Account!$F331, "" ""), """")"),"")</f>
        <v/>
      </c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</row>
    <row r="332">
      <c r="A332" s="12"/>
      <c r="B332" s="12"/>
      <c r="C332" s="12"/>
      <c r="D332" s="12"/>
      <c r="E332" s="12"/>
      <c r="F332" s="13"/>
      <c r="G332" s="12"/>
      <c r="H332" s="12"/>
      <c r="I332" s="12"/>
      <c r="J332" s="12"/>
      <c r="K332" s="12"/>
      <c r="L332" s="13"/>
      <c r="M332" s="30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2" t="str">
        <f>IFERROR(__xludf.DUMMYFUNCTION("IF(Account!$F332&lt;&gt;"""", VALUE(REGEXREPLACE($I332, ""\,"", ""."")), """")"),"")</f>
        <v/>
      </c>
      <c r="O332" s="33" t="str">
        <f>IF(Account!$F332&lt;&gt;"", DATEVALUE(MID($A332,4,3) &amp; LEFT($A332,3) &amp; RIGHT($A332,4)) + TIMEVALUE($B332), "")</f>
        <v/>
      </c>
      <c r="P332" s="34" t="str">
        <f>IF(Account!$F332&lt;&gt;"", DATEVALUE(MID($C332,4,3) &amp; LEFT($C332,3) &amp; RIGHT($C332,4)), "")</f>
        <v/>
      </c>
      <c r="Q332" s="35" t="str">
        <f t="array" ref="Q332">IF($R332&lt;&gt;"",IFERROR(INDEX(ISIN!$B:$B,MATCH($R332,ISIN!$C:$C,0))),)</f>
        <v/>
      </c>
      <c r="R332" s="36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5" t="str">
        <f t="shared" si="1"/>
        <v/>
      </c>
      <c r="T332" s="37" t="str">
        <f t="shared" si="2"/>
        <v/>
      </c>
      <c r="U332" s="38" t="str">
        <f t="shared" si="3"/>
        <v/>
      </c>
      <c r="V332" s="32" t="str">
        <f t="shared" si="4"/>
        <v/>
      </c>
      <c r="W332" s="39" t="str">
        <f>IFERROR(__xludf.DUMMYFUNCTION(" IF(Account!$F332&lt;&gt;"""", SPLIT(Account!$F332, "" ""), """")"),"")</f>
        <v/>
      </c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</row>
    <row r="333">
      <c r="A333" s="12"/>
      <c r="B333" s="12"/>
      <c r="C333" s="12"/>
      <c r="D333" s="12"/>
      <c r="E333" s="12"/>
      <c r="F333" s="13"/>
      <c r="G333" s="12"/>
      <c r="H333" s="12"/>
      <c r="I333" s="12"/>
      <c r="J333" s="12"/>
      <c r="K333" s="12"/>
      <c r="L333" s="13"/>
      <c r="M333" s="30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2" t="str">
        <f>IFERROR(__xludf.DUMMYFUNCTION("IF(Account!$F333&lt;&gt;"""", VALUE(REGEXREPLACE($I333, ""\,"", ""."")), """")"),"")</f>
        <v/>
      </c>
      <c r="O333" s="33" t="str">
        <f>IF(Account!$F333&lt;&gt;"", DATEVALUE(MID($A333,4,3) &amp; LEFT($A333,3) &amp; RIGHT($A333,4)) + TIMEVALUE($B333), "")</f>
        <v/>
      </c>
      <c r="P333" s="34" t="str">
        <f>IF(Account!$F333&lt;&gt;"", DATEVALUE(MID($C333,4,3) &amp; LEFT($C333,3) &amp; RIGHT($C333,4)), "")</f>
        <v/>
      </c>
      <c r="Q333" s="35" t="str">
        <f t="array" ref="Q333">IF($R333&lt;&gt;"",IFERROR(INDEX(ISIN!$B:$B,MATCH($R333,ISIN!$C:$C,0))),)</f>
        <v/>
      </c>
      <c r="R333" s="36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5" t="str">
        <f t="shared" si="1"/>
        <v/>
      </c>
      <c r="T333" s="37" t="str">
        <f t="shared" si="2"/>
        <v/>
      </c>
      <c r="U333" s="38" t="str">
        <f t="shared" si="3"/>
        <v/>
      </c>
      <c r="V333" s="32" t="str">
        <f t="shared" si="4"/>
        <v/>
      </c>
      <c r="W333" s="39" t="str">
        <f>IFERROR(__xludf.DUMMYFUNCTION(" IF(Account!$F333&lt;&gt;"""", SPLIT(Account!$F333, "" ""), """")"),"")</f>
        <v/>
      </c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</row>
    <row r="334">
      <c r="A334" s="12"/>
      <c r="B334" s="12"/>
      <c r="C334" s="12"/>
      <c r="D334" s="12"/>
      <c r="E334" s="12"/>
      <c r="F334" s="13"/>
      <c r="G334" s="12"/>
      <c r="H334" s="12"/>
      <c r="I334" s="12"/>
      <c r="J334" s="12"/>
      <c r="K334" s="12"/>
      <c r="L334" s="13"/>
      <c r="M334" s="30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2" t="str">
        <f>IFERROR(__xludf.DUMMYFUNCTION("IF(Account!$F334&lt;&gt;"""", VALUE(REGEXREPLACE($I334, ""\,"", ""."")), """")"),"")</f>
        <v/>
      </c>
      <c r="O334" s="33" t="str">
        <f>IF(Account!$F334&lt;&gt;"", DATEVALUE(MID($A334,4,3) &amp; LEFT($A334,3) &amp; RIGHT($A334,4)) + TIMEVALUE($B334), "")</f>
        <v/>
      </c>
      <c r="P334" s="34" t="str">
        <f>IF(Account!$F334&lt;&gt;"", DATEVALUE(MID($C334,4,3) &amp; LEFT($C334,3) &amp; RIGHT($C334,4)), "")</f>
        <v/>
      </c>
      <c r="Q334" s="35" t="str">
        <f t="array" ref="Q334">IF($R334&lt;&gt;"",IFERROR(INDEX(ISIN!$B:$B,MATCH($R334,ISIN!$C:$C,0))),)</f>
        <v/>
      </c>
      <c r="R334" s="36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5" t="str">
        <f t="shared" si="1"/>
        <v/>
      </c>
      <c r="T334" s="37" t="str">
        <f t="shared" si="2"/>
        <v/>
      </c>
      <c r="U334" s="38" t="str">
        <f t="shared" si="3"/>
        <v/>
      </c>
      <c r="V334" s="32" t="str">
        <f t="shared" si="4"/>
        <v/>
      </c>
      <c r="W334" s="39" t="str">
        <f>IFERROR(__xludf.DUMMYFUNCTION(" IF(Account!$F334&lt;&gt;"""", SPLIT(Account!$F334, "" ""), """")"),"")</f>
        <v/>
      </c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</row>
    <row r="335">
      <c r="A335" s="12"/>
      <c r="B335" s="12"/>
      <c r="C335" s="12"/>
      <c r="D335" s="12"/>
      <c r="E335" s="12"/>
      <c r="F335" s="13"/>
      <c r="G335" s="12"/>
      <c r="H335" s="12"/>
      <c r="I335" s="12"/>
      <c r="J335" s="12"/>
      <c r="K335" s="12"/>
      <c r="L335" s="13"/>
      <c r="M335" s="30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2" t="str">
        <f>IFERROR(__xludf.DUMMYFUNCTION("IF(Account!$F335&lt;&gt;"""", VALUE(REGEXREPLACE($I335, ""\,"", ""."")), """")"),"")</f>
        <v/>
      </c>
      <c r="O335" s="33" t="str">
        <f>IF(Account!$F335&lt;&gt;"", DATEVALUE(MID($A335,4,3) &amp; LEFT($A335,3) &amp; RIGHT($A335,4)) + TIMEVALUE($B335), "")</f>
        <v/>
      </c>
      <c r="P335" s="34" t="str">
        <f>IF(Account!$F335&lt;&gt;"", DATEVALUE(MID($C335,4,3) &amp; LEFT($C335,3) &amp; RIGHT($C335,4)), "")</f>
        <v/>
      </c>
      <c r="Q335" s="35" t="str">
        <f t="array" ref="Q335">IF($R335&lt;&gt;"",IFERROR(INDEX(ISIN!$B:$B,MATCH($R335,ISIN!$C:$C,0))),)</f>
        <v/>
      </c>
      <c r="R335" s="36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5" t="str">
        <f t="shared" si="1"/>
        <v/>
      </c>
      <c r="T335" s="37" t="str">
        <f t="shared" si="2"/>
        <v/>
      </c>
      <c r="U335" s="38" t="str">
        <f t="shared" si="3"/>
        <v/>
      </c>
      <c r="V335" s="32" t="str">
        <f t="shared" si="4"/>
        <v/>
      </c>
      <c r="W335" s="39" t="str">
        <f>IFERROR(__xludf.DUMMYFUNCTION(" IF(Account!$F335&lt;&gt;"""", SPLIT(Account!$F335, "" ""), """")"),"")</f>
        <v/>
      </c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</row>
    <row r="336">
      <c r="A336" s="12"/>
      <c r="B336" s="12"/>
      <c r="C336" s="12"/>
      <c r="D336" s="12"/>
      <c r="E336" s="12"/>
      <c r="F336" s="13"/>
      <c r="G336" s="12"/>
      <c r="H336" s="12"/>
      <c r="I336" s="12"/>
      <c r="J336" s="12"/>
      <c r="K336" s="12"/>
      <c r="L336" s="13"/>
      <c r="M336" s="30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2" t="str">
        <f>IFERROR(__xludf.DUMMYFUNCTION("IF(Account!$F336&lt;&gt;"""", VALUE(REGEXREPLACE($I336, ""\,"", ""."")), """")"),"")</f>
        <v/>
      </c>
      <c r="O336" s="33" t="str">
        <f>IF(Account!$F336&lt;&gt;"", DATEVALUE(MID($A336,4,3) &amp; LEFT($A336,3) &amp; RIGHT($A336,4)) + TIMEVALUE($B336), "")</f>
        <v/>
      </c>
      <c r="P336" s="34" t="str">
        <f>IF(Account!$F336&lt;&gt;"", DATEVALUE(MID($C336,4,3) &amp; LEFT($C336,3) &amp; RIGHT($C336,4)), "")</f>
        <v/>
      </c>
      <c r="Q336" s="35" t="str">
        <f t="array" ref="Q336">IF($R336&lt;&gt;"",IFERROR(INDEX(ISIN!$B:$B,MATCH($R336,ISIN!$C:$C,0))),)</f>
        <v/>
      </c>
      <c r="R336" s="36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5" t="str">
        <f t="shared" si="1"/>
        <v/>
      </c>
      <c r="T336" s="37" t="str">
        <f t="shared" si="2"/>
        <v/>
      </c>
      <c r="U336" s="38" t="str">
        <f t="shared" si="3"/>
        <v/>
      </c>
      <c r="V336" s="32" t="str">
        <f t="shared" si="4"/>
        <v/>
      </c>
      <c r="W336" s="39" t="str">
        <f>IFERROR(__xludf.DUMMYFUNCTION(" IF(Account!$F336&lt;&gt;"""", SPLIT(Account!$F336, "" ""), """")"),"")</f>
        <v/>
      </c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</row>
    <row r="337">
      <c r="A337" s="12"/>
      <c r="B337" s="12"/>
      <c r="C337" s="12"/>
      <c r="D337" s="12"/>
      <c r="E337" s="12"/>
      <c r="F337" s="13"/>
      <c r="G337" s="12"/>
      <c r="H337" s="12"/>
      <c r="I337" s="12"/>
      <c r="J337" s="12"/>
      <c r="K337" s="12"/>
      <c r="L337" s="13"/>
      <c r="M337" s="30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2" t="str">
        <f>IFERROR(__xludf.DUMMYFUNCTION("IF(Account!$F337&lt;&gt;"""", VALUE(REGEXREPLACE($I337, ""\,"", ""."")), """")"),"")</f>
        <v/>
      </c>
      <c r="O337" s="33" t="str">
        <f>IF(Account!$F337&lt;&gt;"", DATEVALUE(MID($A337,4,3) &amp; LEFT($A337,3) &amp; RIGHT($A337,4)) + TIMEVALUE($B337), "")</f>
        <v/>
      </c>
      <c r="P337" s="34" t="str">
        <f>IF(Account!$F337&lt;&gt;"", DATEVALUE(MID($C337,4,3) &amp; LEFT($C337,3) &amp; RIGHT($C337,4)), "")</f>
        <v/>
      </c>
      <c r="Q337" s="35" t="str">
        <f t="array" ref="Q337">IF($R337&lt;&gt;"",IFERROR(INDEX(ISIN!$B:$B,MATCH($R337,ISIN!$C:$C,0))),)</f>
        <v/>
      </c>
      <c r="R337" s="36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5" t="str">
        <f t="shared" si="1"/>
        <v/>
      </c>
      <c r="T337" s="37" t="str">
        <f t="shared" si="2"/>
        <v/>
      </c>
      <c r="U337" s="38" t="str">
        <f t="shared" si="3"/>
        <v/>
      </c>
      <c r="V337" s="32" t="str">
        <f t="shared" si="4"/>
        <v/>
      </c>
      <c r="W337" s="39" t="str">
        <f>IFERROR(__xludf.DUMMYFUNCTION(" IF(Account!$F337&lt;&gt;"""", SPLIT(Account!$F337, "" ""), """")"),"")</f>
        <v/>
      </c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</row>
    <row r="338">
      <c r="A338" s="12"/>
      <c r="B338" s="12"/>
      <c r="C338" s="12"/>
      <c r="D338" s="12"/>
      <c r="E338" s="12"/>
      <c r="F338" s="13"/>
      <c r="G338" s="12"/>
      <c r="H338" s="12"/>
      <c r="I338" s="12"/>
      <c r="J338" s="12"/>
      <c r="K338" s="12"/>
      <c r="L338" s="13"/>
      <c r="M338" s="30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2" t="str">
        <f>IFERROR(__xludf.DUMMYFUNCTION("IF(Account!$F338&lt;&gt;"""", VALUE(REGEXREPLACE($I338, ""\,"", ""."")), """")"),"")</f>
        <v/>
      </c>
      <c r="O338" s="33" t="str">
        <f>IF(Account!$F338&lt;&gt;"", DATEVALUE(MID($A338,4,3) &amp; LEFT($A338,3) &amp; RIGHT($A338,4)) + TIMEVALUE($B338), "")</f>
        <v/>
      </c>
      <c r="P338" s="34" t="str">
        <f>IF(Account!$F338&lt;&gt;"", DATEVALUE(MID($C338,4,3) &amp; LEFT($C338,3) &amp; RIGHT($C338,4)), "")</f>
        <v/>
      </c>
      <c r="Q338" s="35" t="str">
        <f t="array" ref="Q338">IF($R338&lt;&gt;"",IFERROR(INDEX(ISIN!$B:$B,MATCH($R338,ISIN!$C:$C,0))),)</f>
        <v/>
      </c>
      <c r="R338" s="36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5" t="str">
        <f t="shared" si="1"/>
        <v/>
      </c>
      <c r="T338" s="37" t="str">
        <f t="shared" si="2"/>
        <v/>
      </c>
      <c r="U338" s="38" t="str">
        <f t="shared" si="3"/>
        <v/>
      </c>
      <c r="V338" s="32" t="str">
        <f t="shared" si="4"/>
        <v/>
      </c>
      <c r="W338" s="39" t="str">
        <f>IFERROR(__xludf.DUMMYFUNCTION(" IF(Account!$F338&lt;&gt;"""", SPLIT(Account!$F338, "" ""), """")"),"")</f>
        <v/>
      </c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</row>
    <row r="339">
      <c r="A339" s="12"/>
      <c r="B339" s="12"/>
      <c r="C339" s="12"/>
      <c r="D339" s="12"/>
      <c r="E339" s="12"/>
      <c r="F339" s="13"/>
      <c r="G339" s="291"/>
      <c r="H339" s="12"/>
      <c r="I339" s="12"/>
      <c r="J339" s="12"/>
      <c r="K339" s="12"/>
      <c r="L339" s="13"/>
      <c r="M339" s="30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2" t="str">
        <f>IFERROR(__xludf.DUMMYFUNCTION("IF(Account!$F339&lt;&gt;"""", VALUE(REGEXREPLACE($I339, ""\,"", ""."")), """")"),"")</f>
        <v/>
      </c>
      <c r="O339" s="33" t="str">
        <f>IF(Account!$F339&lt;&gt;"", DATEVALUE(MID($A339,4,3) &amp; LEFT($A339,3) &amp; RIGHT($A339,4)) + TIMEVALUE($B339), "")</f>
        <v/>
      </c>
      <c r="P339" s="34" t="str">
        <f>IF(Account!$F339&lt;&gt;"", DATEVALUE(MID($C339,4,3) &amp; LEFT($C339,3) &amp; RIGHT($C339,4)), "")</f>
        <v/>
      </c>
      <c r="Q339" s="35" t="str">
        <f t="array" ref="Q339">IF($R339&lt;&gt;"",IFERROR(INDEX(ISIN!$B:$B,MATCH($R339,ISIN!$C:$C,0))),)</f>
        <v/>
      </c>
      <c r="R339" s="36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5" t="str">
        <f t="shared" si="1"/>
        <v/>
      </c>
      <c r="T339" s="37" t="str">
        <f t="shared" si="2"/>
        <v/>
      </c>
      <c r="U339" s="38" t="str">
        <f t="shared" si="3"/>
        <v/>
      </c>
      <c r="V339" s="32" t="str">
        <f t="shared" si="4"/>
        <v/>
      </c>
      <c r="W339" s="39" t="str">
        <f>IFERROR(__xludf.DUMMYFUNCTION(" IF(Account!$F339&lt;&gt;"""", SPLIT(Account!$F339, "" ""), """")"),"")</f>
        <v/>
      </c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</row>
    <row r="340">
      <c r="A340" s="12"/>
      <c r="B340" s="12"/>
      <c r="C340" s="12"/>
      <c r="D340" s="12"/>
      <c r="E340" s="12"/>
      <c r="F340" s="13"/>
      <c r="G340" s="12"/>
      <c r="H340" s="12"/>
      <c r="I340" s="12"/>
      <c r="J340" s="12"/>
      <c r="K340" s="12"/>
      <c r="L340" s="13"/>
      <c r="M340" s="30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2" t="str">
        <f>IFERROR(__xludf.DUMMYFUNCTION("IF(Account!$F340&lt;&gt;"""", VALUE(REGEXREPLACE($I340, ""\,"", ""."")), """")"),"")</f>
        <v/>
      </c>
      <c r="O340" s="33" t="str">
        <f>IF(Account!$F340&lt;&gt;"", DATEVALUE(MID($A340,4,3) &amp; LEFT($A340,3) &amp; RIGHT($A340,4)) + TIMEVALUE($B340), "")</f>
        <v/>
      </c>
      <c r="P340" s="34" t="str">
        <f>IF(Account!$F340&lt;&gt;"", DATEVALUE(MID($C340,4,3) &amp; LEFT($C340,3) &amp; RIGHT($C340,4)), "")</f>
        <v/>
      </c>
      <c r="Q340" s="35" t="str">
        <f t="array" ref="Q340">IF($R340&lt;&gt;"",IFERROR(INDEX(ISIN!$B:$B,MATCH($R340,ISIN!$C:$C,0))),)</f>
        <v/>
      </c>
      <c r="R340" s="36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5" t="str">
        <f t="shared" si="1"/>
        <v/>
      </c>
      <c r="T340" s="37" t="str">
        <f t="shared" si="2"/>
        <v/>
      </c>
      <c r="U340" s="38" t="str">
        <f t="shared" si="3"/>
        <v/>
      </c>
      <c r="V340" s="32" t="str">
        <f t="shared" si="4"/>
        <v/>
      </c>
      <c r="W340" s="39" t="str">
        <f>IFERROR(__xludf.DUMMYFUNCTION(" IF(Account!$F340&lt;&gt;"""", SPLIT(Account!$F340, "" ""), """")"),"")</f>
        <v/>
      </c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</row>
    <row r="341">
      <c r="A341" s="12"/>
      <c r="B341" s="12"/>
      <c r="C341" s="12"/>
      <c r="D341" s="12"/>
      <c r="E341" s="12"/>
      <c r="F341" s="13"/>
      <c r="G341" s="12"/>
      <c r="H341" s="12"/>
      <c r="I341" s="12"/>
      <c r="J341" s="12"/>
      <c r="K341" s="12"/>
      <c r="L341" s="13"/>
      <c r="M341" s="30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2" t="str">
        <f>IFERROR(__xludf.DUMMYFUNCTION("IF(Account!$F341&lt;&gt;"""", VALUE(REGEXREPLACE($I341, ""\,"", ""."")), """")"),"")</f>
        <v/>
      </c>
      <c r="O341" s="33" t="str">
        <f>IF(Account!$F341&lt;&gt;"", DATEVALUE(MID($A341,4,3) &amp; LEFT($A341,3) &amp; RIGHT($A341,4)) + TIMEVALUE($B341), "")</f>
        <v/>
      </c>
      <c r="P341" s="34" t="str">
        <f>IF(Account!$F341&lt;&gt;"", DATEVALUE(MID($C341,4,3) &amp; LEFT($C341,3) &amp; RIGHT($C341,4)), "")</f>
        <v/>
      </c>
      <c r="Q341" s="35" t="str">
        <f t="array" ref="Q341">IF($R341&lt;&gt;"",IFERROR(INDEX(ISIN!$B:$B,MATCH($R341,ISIN!$C:$C,0))),)</f>
        <v/>
      </c>
      <c r="R341" s="36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5" t="str">
        <f t="shared" si="1"/>
        <v/>
      </c>
      <c r="T341" s="37" t="str">
        <f t="shared" si="2"/>
        <v/>
      </c>
      <c r="U341" s="38" t="str">
        <f t="shared" si="3"/>
        <v/>
      </c>
      <c r="V341" s="32" t="str">
        <f t="shared" si="4"/>
        <v/>
      </c>
      <c r="W341" s="39" t="str">
        <f>IFERROR(__xludf.DUMMYFUNCTION(" IF(Account!$F341&lt;&gt;"""", SPLIT(Account!$F341, "" ""), """")"),"")</f>
        <v/>
      </c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</row>
    <row r="342">
      <c r="A342" s="12"/>
      <c r="B342" s="12"/>
      <c r="C342" s="12"/>
      <c r="D342" s="12"/>
      <c r="E342" s="12"/>
      <c r="F342" s="13"/>
      <c r="G342" s="12"/>
      <c r="H342" s="12"/>
      <c r="I342" s="12"/>
      <c r="J342" s="12"/>
      <c r="K342" s="12"/>
      <c r="L342" s="13"/>
      <c r="M342" s="30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2" t="str">
        <f>IFERROR(__xludf.DUMMYFUNCTION("IF(Account!$F342&lt;&gt;"""", VALUE(REGEXREPLACE($I342, ""\,"", ""."")), """")"),"")</f>
        <v/>
      </c>
      <c r="O342" s="33" t="str">
        <f>IF(Account!$F342&lt;&gt;"", DATEVALUE(MID($A342,4,3) &amp; LEFT($A342,3) &amp; RIGHT($A342,4)) + TIMEVALUE($B342), "")</f>
        <v/>
      </c>
      <c r="P342" s="34" t="str">
        <f>IF(Account!$F342&lt;&gt;"", DATEVALUE(MID($C342,4,3) &amp; LEFT($C342,3) &amp; RIGHT($C342,4)), "")</f>
        <v/>
      </c>
      <c r="Q342" s="35" t="str">
        <f t="array" ref="Q342">IF($R342&lt;&gt;"",IFERROR(INDEX(ISIN!$B:$B,MATCH($R342,ISIN!$C:$C,0))),)</f>
        <v/>
      </c>
      <c r="R342" s="36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5" t="str">
        <f t="shared" si="1"/>
        <v/>
      </c>
      <c r="T342" s="37" t="str">
        <f t="shared" si="2"/>
        <v/>
      </c>
      <c r="U342" s="38" t="str">
        <f t="shared" si="3"/>
        <v/>
      </c>
      <c r="V342" s="32" t="str">
        <f t="shared" si="4"/>
        <v/>
      </c>
      <c r="W342" s="39" t="str">
        <f>IFERROR(__xludf.DUMMYFUNCTION(" IF(Account!$F342&lt;&gt;"""", SPLIT(Account!$F342, "" ""), """")"),"")</f>
        <v/>
      </c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</row>
    <row r="343">
      <c r="A343" s="12"/>
      <c r="B343" s="12"/>
      <c r="C343" s="12"/>
      <c r="D343" s="12"/>
      <c r="E343" s="12"/>
      <c r="F343" s="13"/>
      <c r="G343" s="291"/>
      <c r="H343" s="12"/>
      <c r="I343" s="12"/>
      <c r="J343" s="12"/>
      <c r="K343" s="12"/>
      <c r="L343" s="13"/>
      <c r="M343" s="30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2" t="str">
        <f>IFERROR(__xludf.DUMMYFUNCTION("IF(Account!$F343&lt;&gt;"""", VALUE(REGEXREPLACE($I343, ""\,"", ""."")), """")"),"")</f>
        <v/>
      </c>
      <c r="O343" s="33" t="str">
        <f>IF(Account!$F343&lt;&gt;"", DATEVALUE(MID($A343,4,3) &amp; LEFT($A343,3) &amp; RIGHT($A343,4)) + TIMEVALUE($B343), "")</f>
        <v/>
      </c>
      <c r="P343" s="34" t="str">
        <f>IF(Account!$F343&lt;&gt;"", DATEVALUE(MID($C343,4,3) &amp; LEFT($C343,3) &amp; RIGHT($C343,4)), "")</f>
        <v/>
      </c>
      <c r="Q343" s="35" t="str">
        <f t="array" ref="Q343">IF($R343&lt;&gt;"",IFERROR(INDEX(ISIN!$B:$B,MATCH($R343,ISIN!$C:$C,0))),)</f>
        <v/>
      </c>
      <c r="R343" s="36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5" t="str">
        <f t="shared" si="1"/>
        <v/>
      </c>
      <c r="T343" s="37" t="str">
        <f t="shared" si="2"/>
        <v/>
      </c>
      <c r="U343" s="38" t="str">
        <f t="shared" si="3"/>
        <v/>
      </c>
      <c r="V343" s="32" t="str">
        <f t="shared" si="4"/>
        <v/>
      </c>
      <c r="W343" s="39" t="str">
        <f>IFERROR(__xludf.DUMMYFUNCTION(" IF(Account!$F343&lt;&gt;"""", SPLIT(Account!$F343, "" ""), """")"),"")</f>
        <v/>
      </c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</row>
    <row r="344">
      <c r="A344" s="12"/>
      <c r="B344" s="12"/>
      <c r="C344" s="12"/>
      <c r="D344" s="12"/>
      <c r="E344" s="12"/>
      <c r="F344" s="13"/>
      <c r="G344" s="12"/>
      <c r="H344" s="12"/>
      <c r="I344" s="12"/>
      <c r="J344" s="12"/>
      <c r="K344" s="12"/>
      <c r="L344" s="13"/>
      <c r="M344" s="30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2" t="str">
        <f>IFERROR(__xludf.DUMMYFUNCTION("IF(Account!$F344&lt;&gt;"""", VALUE(REGEXREPLACE($I344, ""\,"", ""."")), """")"),"")</f>
        <v/>
      </c>
      <c r="O344" s="33" t="str">
        <f>IF(Account!$F344&lt;&gt;"", DATEVALUE(MID($A344,4,3) &amp; LEFT($A344,3) &amp; RIGHT($A344,4)) + TIMEVALUE($B344), "")</f>
        <v/>
      </c>
      <c r="P344" s="34" t="str">
        <f>IF(Account!$F344&lt;&gt;"", DATEVALUE(MID($C344,4,3) &amp; LEFT($C344,3) &amp; RIGHT($C344,4)), "")</f>
        <v/>
      </c>
      <c r="Q344" s="35" t="str">
        <f t="array" ref="Q344">IF($R344&lt;&gt;"",IFERROR(INDEX(ISIN!$B:$B,MATCH($R344,ISIN!$C:$C,0))),)</f>
        <v/>
      </c>
      <c r="R344" s="36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5" t="str">
        <f t="shared" si="1"/>
        <v/>
      </c>
      <c r="T344" s="37" t="str">
        <f t="shared" si="2"/>
        <v/>
      </c>
      <c r="U344" s="38" t="str">
        <f t="shared" si="3"/>
        <v/>
      </c>
      <c r="V344" s="32" t="str">
        <f t="shared" si="4"/>
        <v/>
      </c>
      <c r="W344" s="39" t="str">
        <f>IFERROR(__xludf.DUMMYFUNCTION(" IF(Account!$F344&lt;&gt;"""", SPLIT(Account!$F344, "" ""), """")"),"")</f>
        <v/>
      </c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</row>
    <row r="345">
      <c r="A345" s="12"/>
      <c r="B345" s="12"/>
      <c r="C345" s="12"/>
      <c r="D345" s="12"/>
      <c r="E345" s="12"/>
      <c r="F345" s="13"/>
      <c r="G345" s="12"/>
      <c r="H345" s="12"/>
      <c r="I345" s="12"/>
      <c r="J345" s="12"/>
      <c r="K345" s="12"/>
      <c r="L345" s="13"/>
      <c r="M345" s="30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2" t="str">
        <f>IFERROR(__xludf.DUMMYFUNCTION("IF(Account!$F345&lt;&gt;"""", VALUE(REGEXREPLACE($I345, ""\,"", ""."")), """")"),"")</f>
        <v/>
      </c>
      <c r="O345" s="33" t="str">
        <f>IF(Account!$F345&lt;&gt;"", DATEVALUE(MID($A345,4,3) &amp; LEFT($A345,3) &amp; RIGHT($A345,4)) + TIMEVALUE($B345), "")</f>
        <v/>
      </c>
      <c r="P345" s="34" t="str">
        <f>IF(Account!$F345&lt;&gt;"", DATEVALUE(MID($C345,4,3) &amp; LEFT($C345,3) &amp; RIGHT($C345,4)), "")</f>
        <v/>
      </c>
      <c r="Q345" s="35" t="str">
        <f t="array" ref="Q345">IF($R345&lt;&gt;"",IFERROR(INDEX(ISIN!$B:$B,MATCH($R345,ISIN!$C:$C,0))),)</f>
        <v/>
      </c>
      <c r="R345" s="36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5" t="str">
        <f t="shared" si="1"/>
        <v/>
      </c>
      <c r="T345" s="37" t="str">
        <f t="shared" si="2"/>
        <v/>
      </c>
      <c r="U345" s="38" t="str">
        <f t="shared" si="3"/>
        <v/>
      </c>
      <c r="V345" s="32" t="str">
        <f t="shared" si="4"/>
        <v/>
      </c>
      <c r="W345" s="39" t="str">
        <f>IFERROR(__xludf.DUMMYFUNCTION(" IF(Account!$F345&lt;&gt;"""", SPLIT(Account!$F345, "" ""), """")"),"")</f>
        <v/>
      </c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</row>
    <row r="346">
      <c r="A346" s="12"/>
      <c r="B346" s="12"/>
      <c r="C346" s="12"/>
      <c r="D346" s="12"/>
      <c r="E346" s="12"/>
      <c r="F346" s="13"/>
      <c r="G346" s="291"/>
      <c r="H346" s="12"/>
      <c r="I346" s="12"/>
      <c r="J346" s="12"/>
      <c r="K346" s="12"/>
      <c r="L346" s="13"/>
      <c r="M346" s="30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2" t="str">
        <f>IFERROR(__xludf.DUMMYFUNCTION("IF(Account!$F346&lt;&gt;"""", VALUE(REGEXREPLACE($I346, ""\,"", ""."")), """")"),"")</f>
        <v/>
      </c>
      <c r="O346" s="33" t="str">
        <f>IF(Account!$F346&lt;&gt;"", DATEVALUE(MID($A346,4,3) &amp; LEFT($A346,3) &amp; RIGHT($A346,4)) + TIMEVALUE($B346), "")</f>
        <v/>
      </c>
      <c r="P346" s="34" t="str">
        <f>IF(Account!$F346&lt;&gt;"", DATEVALUE(MID($C346,4,3) &amp; LEFT($C346,3) &amp; RIGHT($C346,4)), "")</f>
        <v/>
      </c>
      <c r="Q346" s="35" t="str">
        <f t="array" ref="Q346">IF($R346&lt;&gt;"",IFERROR(INDEX(ISIN!$B:$B,MATCH($R346,ISIN!$C:$C,0))),)</f>
        <v/>
      </c>
      <c r="R346" s="36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5" t="str">
        <f t="shared" si="1"/>
        <v/>
      </c>
      <c r="T346" s="37" t="str">
        <f t="shared" si="2"/>
        <v/>
      </c>
      <c r="U346" s="38" t="str">
        <f t="shared" si="3"/>
        <v/>
      </c>
      <c r="V346" s="32" t="str">
        <f t="shared" si="4"/>
        <v/>
      </c>
      <c r="W346" s="39" t="str">
        <f>IFERROR(__xludf.DUMMYFUNCTION(" IF(Account!$F346&lt;&gt;"""", SPLIT(Account!$F346, "" ""), """")"),"")</f>
        <v/>
      </c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</row>
    <row r="347">
      <c r="A347" s="12"/>
      <c r="B347" s="12"/>
      <c r="C347" s="12"/>
      <c r="D347" s="12"/>
      <c r="E347" s="12"/>
      <c r="F347" s="13"/>
      <c r="G347" s="291"/>
      <c r="H347" s="12"/>
      <c r="I347" s="12"/>
      <c r="J347" s="12"/>
      <c r="K347" s="12"/>
      <c r="L347" s="13"/>
      <c r="M347" s="30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2" t="str">
        <f>IFERROR(__xludf.DUMMYFUNCTION("IF(Account!$F347&lt;&gt;"""", VALUE(REGEXREPLACE($I347, ""\,"", ""."")), """")"),"")</f>
        <v/>
      </c>
      <c r="O347" s="33" t="str">
        <f>IF(Account!$F347&lt;&gt;"", DATEVALUE(MID($A347,4,3) &amp; LEFT($A347,3) &amp; RIGHT($A347,4)) + TIMEVALUE($B347), "")</f>
        <v/>
      </c>
      <c r="P347" s="34" t="str">
        <f>IF(Account!$F347&lt;&gt;"", DATEVALUE(MID($C347,4,3) &amp; LEFT($C347,3) &amp; RIGHT($C347,4)), "")</f>
        <v/>
      </c>
      <c r="Q347" s="35" t="str">
        <f t="array" ref="Q347">IF($R347&lt;&gt;"",IFERROR(INDEX(ISIN!$B:$B,MATCH($R347,ISIN!$C:$C,0))),)</f>
        <v/>
      </c>
      <c r="R347" s="36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5" t="str">
        <f t="shared" si="1"/>
        <v/>
      </c>
      <c r="T347" s="37" t="str">
        <f t="shared" si="2"/>
        <v/>
      </c>
      <c r="U347" s="38" t="str">
        <f t="shared" si="3"/>
        <v/>
      </c>
      <c r="V347" s="32" t="str">
        <f t="shared" si="4"/>
        <v/>
      </c>
      <c r="W347" s="39" t="str">
        <f>IFERROR(__xludf.DUMMYFUNCTION(" IF(Account!$F347&lt;&gt;"""", SPLIT(Account!$F347, "" ""), """")"),"")</f>
        <v/>
      </c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</row>
    <row r="348">
      <c r="A348" s="12"/>
      <c r="B348" s="12"/>
      <c r="C348" s="12"/>
      <c r="D348" s="12"/>
      <c r="E348" s="12"/>
      <c r="F348" s="13"/>
      <c r="G348" s="291"/>
      <c r="H348" s="12"/>
      <c r="I348" s="12"/>
      <c r="J348" s="12"/>
      <c r="K348" s="12"/>
      <c r="L348" s="13"/>
      <c r="M348" s="30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2" t="str">
        <f>IFERROR(__xludf.DUMMYFUNCTION("IF(Account!$F348&lt;&gt;"""", VALUE(REGEXREPLACE($I348, ""\,"", ""."")), """")"),"")</f>
        <v/>
      </c>
      <c r="O348" s="33" t="str">
        <f>IF(Account!$F348&lt;&gt;"", DATEVALUE(MID($A348,4,3) &amp; LEFT($A348,3) &amp; RIGHT($A348,4)) + TIMEVALUE($B348), "")</f>
        <v/>
      </c>
      <c r="P348" s="34" t="str">
        <f>IF(Account!$F348&lt;&gt;"", DATEVALUE(MID($C348,4,3) &amp; LEFT($C348,3) &amp; RIGHT($C348,4)), "")</f>
        <v/>
      </c>
      <c r="Q348" s="35" t="str">
        <f t="array" ref="Q348">IF($R348&lt;&gt;"",IFERROR(INDEX(ISIN!$B:$B,MATCH($R348,ISIN!$C:$C,0))),)</f>
        <v/>
      </c>
      <c r="R348" s="36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5" t="str">
        <f t="shared" si="1"/>
        <v/>
      </c>
      <c r="T348" s="37" t="str">
        <f t="shared" si="2"/>
        <v/>
      </c>
      <c r="U348" s="38" t="str">
        <f t="shared" si="3"/>
        <v/>
      </c>
      <c r="V348" s="32" t="str">
        <f t="shared" si="4"/>
        <v/>
      </c>
      <c r="W348" s="39" t="str">
        <f>IFERROR(__xludf.DUMMYFUNCTION(" IF(Account!$F348&lt;&gt;"""", SPLIT(Account!$F348, "" ""), """")"),"")</f>
        <v/>
      </c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</row>
    <row r="349">
      <c r="A349" s="12"/>
      <c r="B349" s="12"/>
      <c r="C349" s="12"/>
      <c r="D349" s="12"/>
      <c r="E349" s="12"/>
      <c r="F349" s="13"/>
      <c r="G349" s="12"/>
      <c r="H349" s="12"/>
      <c r="I349" s="12"/>
      <c r="J349" s="12"/>
      <c r="K349" s="12"/>
      <c r="L349" s="13"/>
      <c r="M349" s="30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2" t="str">
        <f>IFERROR(__xludf.DUMMYFUNCTION("IF(Account!$F349&lt;&gt;"""", VALUE(REGEXREPLACE($I349, ""\,"", ""."")), """")"),"")</f>
        <v/>
      </c>
      <c r="O349" s="33" t="str">
        <f>IF(Account!$F349&lt;&gt;"", DATEVALUE(MID($A349,4,3) &amp; LEFT($A349,3) &amp; RIGHT($A349,4)) + TIMEVALUE($B349), "")</f>
        <v/>
      </c>
      <c r="P349" s="34" t="str">
        <f>IF(Account!$F349&lt;&gt;"", DATEVALUE(MID($C349,4,3) &amp; LEFT($C349,3) &amp; RIGHT($C349,4)), "")</f>
        <v/>
      </c>
      <c r="Q349" s="35" t="str">
        <f t="array" ref="Q349">IF($R349&lt;&gt;"",IFERROR(INDEX(ISIN!$B:$B,MATCH($R349,ISIN!$C:$C,0))),)</f>
        <v/>
      </c>
      <c r="R349" s="36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5" t="str">
        <f t="shared" si="1"/>
        <v/>
      </c>
      <c r="T349" s="37" t="str">
        <f t="shared" si="2"/>
        <v/>
      </c>
      <c r="U349" s="38" t="str">
        <f t="shared" si="3"/>
        <v/>
      </c>
      <c r="V349" s="32" t="str">
        <f t="shared" si="4"/>
        <v/>
      </c>
      <c r="W349" s="39" t="str">
        <f>IFERROR(__xludf.DUMMYFUNCTION(" IF(Account!$F349&lt;&gt;"""", SPLIT(Account!$F349, "" ""), """")"),"")</f>
        <v/>
      </c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</row>
    <row r="350">
      <c r="A350" s="12"/>
      <c r="B350" s="12"/>
      <c r="C350" s="12"/>
      <c r="D350" s="12"/>
      <c r="E350" s="12"/>
      <c r="F350" s="13"/>
      <c r="G350" s="291"/>
      <c r="H350" s="12"/>
      <c r="I350" s="12"/>
      <c r="J350" s="12"/>
      <c r="K350" s="12"/>
      <c r="L350" s="13"/>
      <c r="M350" s="30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2" t="str">
        <f>IFERROR(__xludf.DUMMYFUNCTION("IF(Account!$F350&lt;&gt;"""", VALUE(REGEXREPLACE($I350, ""\,"", ""."")), """")"),"")</f>
        <v/>
      </c>
      <c r="O350" s="33" t="str">
        <f>IF(Account!$F350&lt;&gt;"", DATEVALUE(MID($A350,4,3) &amp; LEFT($A350,3) &amp; RIGHT($A350,4)) + TIMEVALUE($B350), "")</f>
        <v/>
      </c>
      <c r="P350" s="34" t="str">
        <f>IF(Account!$F350&lt;&gt;"", DATEVALUE(MID($C350,4,3) &amp; LEFT($C350,3) &amp; RIGHT($C350,4)), "")</f>
        <v/>
      </c>
      <c r="Q350" s="35" t="str">
        <f t="array" ref="Q350">IF($R350&lt;&gt;"",IFERROR(INDEX(ISIN!$B:$B,MATCH($R350,ISIN!$C:$C,0))),)</f>
        <v/>
      </c>
      <c r="R350" s="36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5" t="str">
        <f t="shared" si="1"/>
        <v/>
      </c>
      <c r="T350" s="37" t="str">
        <f t="shared" si="2"/>
        <v/>
      </c>
      <c r="U350" s="38" t="str">
        <f t="shared" si="3"/>
        <v/>
      </c>
      <c r="V350" s="32" t="str">
        <f t="shared" si="4"/>
        <v/>
      </c>
      <c r="W350" s="39" t="str">
        <f>IFERROR(__xludf.DUMMYFUNCTION(" IF(Account!$F350&lt;&gt;"""", SPLIT(Account!$F350, "" ""), """")"),"")</f>
        <v/>
      </c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</row>
    <row r="351">
      <c r="A351" s="12"/>
      <c r="B351" s="12"/>
      <c r="C351" s="12"/>
      <c r="D351" s="12"/>
      <c r="E351" s="12"/>
      <c r="F351" s="13"/>
      <c r="G351" s="12"/>
      <c r="H351" s="12"/>
      <c r="I351" s="12"/>
      <c r="J351" s="12"/>
      <c r="K351" s="12"/>
      <c r="L351" s="13"/>
      <c r="M351" s="30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2" t="str">
        <f>IFERROR(__xludf.DUMMYFUNCTION("IF(Account!$F351&lt;&gt;"""", VALUE(REGEXREPLACE($I351, ""\,"", ""."")), """")"),"")</f>
        <v/>
      </c>
      <c r="O351" s="33" t="str">
        <f>IF(Account!$F351&lt;&gt;"", DATEVALUE(MID($A351,4,3) &amp; LEFT($A351,3) &amp; RIGHT($A351,4)) + TIMEVALUE($B351), "")</f>
        <v/>
      </c>
      <c r="P351" s="34" t="str">
        <f>IF(Account!$F351&lt;&gt;"", DATEVALUE(MID($C351,4,3) &amp; LEFT($C351,3) &amp; RIGHT($C351,4)), "")</f>
        <v/>
      </c>
      <c r="Q351" s="35" t="str">
        <f t="array" ref="Q351">IF($R351&lt;&gt;"",IFERROR(INDEX(ISIN!$B:$B,MATCH($R351,ISIN!$C:$C,0))),)</f>
        <v/>
      </c>
      <c r="R351" s="36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5" t="str">
        <f t="shared" si="1"/>
        <v/>
      </c>
      <c r="T351" s="37" t="str">
        <f t="shared" si="2"/>
        <v/>
      </c>
      <c r="U351" s="38" t="str">
        <f t="shared" si="3"/>
        <v/>
      </c>
      <c r="V351" s="32" t="str">
        <f t="shared" si="4"/>
        <v/>
      </c>
      <c r="W351" s="39" t="str">
        <f>IFERROR(__xludf.DUMMYFUNCTION(" IF(Account!$F351&lt;&gt;"""", SPLIT(Account!$F351, "" ""), """")"),"")</f>
        <v/>
      </c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</row>
    <row r="352">
      <c r="A352" s="12"/>
      <c r="B352" s="12"/>
      <c r="C352" s="12"/>
      <c r="D352" s="12"/>
      <c r="E352" s="12"/>
      <c r="F352" s="13"/>
      <c r="G352" s="291"/>
      <c r="H352" s="12"/>
      <c r="I352" s="12"/>
      <c r="J352" s="12"/>
      <c r="K352" s="12"/>
      <c r="L352" s="13"/>
      <c r="M352" s="30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2" t="str">
        <f>IFERROR(__xludf.DUMMYFUNCTION("IF(Account!$F352&lt;&gt;"""", VALUE(REGEXREPLACE($I352, ""\,"", ""."")), """")"),"")</f>
        <v/>
      </c>
      <c r="O352" s="33" t="str">
        <f>IF(Account!$F352&lt;&gt;"", DATEVALUE(MID($A352,4,3) &amp; LEFT($A352,3) &amp; RIGHT($A352,4)) + TIMEVALUE($B352), "")</f>
        <v/>
      </c>
      <c r="P352" s="34" t="str">
        <f>IF(Account!$F352&lt;&gt;"", DATEVALUE(MID($C352,4,3) &amp; LEFT($C352,3) &amp; RIGHT($C352,4)), "")</f>
        <v/>
      </c>
      <c r="Q352" s="35" t="str">
        <f t="array" ref="Q352">IF($R352&lt;&gt;"",IFERROR(INDEX(ISIN!$B:$B,MATCH($R352,ISIN!$C:$C,0))),)</f>
        <v/>
      </c>
      <c r="R352" s="36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5" t="str">
        <f t="shared" si="1"/>
        <v/>
      </c>
      <c r="T352" s="37" t="str">
        <f t="shared" si="2"/>
        <v/>
      </c>
      <c r="U352" s="38" t="str">
        <f t="shared" si="3"/>
        <v/>
      </c>
      <c r="V352" s="32" t="str">
        <f t="shared" si="4"/>
        <v/>
      </c>
      <c r="W352" s="39" t="str">
        <f>IFERROR(__xludf.DUMMYFUNCTION(" IF(Account!$F352&lt;&gt;"""", SPLIT(Account!$F352, "" ""), """")"),"")</f>
        <v/>
      </c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</row>
    <row r="353">
      <c r="A353" s="12"/>
      <c r="B353" s="12"/>
      <c r="C353" s="12"/>
      <c r="D353" s="12"/>
      <c r="E353" s="12"/>
      <c r="F353" s="13"/>
      <c r="G353" s="12"/>
      <c r="H353" s="12"/>
      <c r="I353" s="12"/>
      <c r="J353" s="12"/>
      <c r="K353" s="12"/>
      <c r="L353" s="13"/>
      <c r="M353" s="30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2" t="str">
        <f>IFERROR(__xludf.DUMMYFUNCTION("IF(Account!$F353&lt;&gt;"""", VALUE(REGEXREPLACE($I353, ""\,"", ""."")), """")"),"")</f>
        <v/>
      </c>
      <c r="O353" s="33" t="str">
        <f>IF(Account!$F353&lt;&gt;"", DATEVALUE(MID($A353,4,3) &amp; LEFT($A353,3) &amp; RIGHT($A353,4)) + TIMEVALUE($B353), "")</f>
        <v/>
      </c>
      <c r="P353" s="34" t="str">
        <f>IF(Account!$F353&lt;&gt;"", DATEVALUE(MID($C353,4,3) &amp; LEFT($C353,3) &amp; RIGHT($C353,4)), "")</f>
        <v/>
      </c>
      <c r="Q353" s="35" t="str">
        <f t="array" ref="Q353">IF($R353&lt;&gt;"",IFERROR(INDEX(ISIN!$B:$B,MATCH($R353,ISIN!$C:$C,0))),)</f>
        <v/>
      </c>
      <c r="R353" s="36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5" t="str">
        <f t="shared" si="1"/>
        <v/>
      </c>
      <c r="T353" s="37" t="str">
        <f t="shared" si="2"/>
        <v/>
      </c>
      <c r="U353" s="38" t="str">
        <f t="shared" si="3"/>
        <v/>
      </c>
      <c r="V353" s="32" t="str">
        <f t="shared" si="4"/>
        <v/>
      </c>
      <c r="W353" s="39" t="str">
        <f>IFERROR(__xludf.DUMMYFUNCTION(" IF(Account!$F353&lt;&gt;"""", SPLIT(Account!$F353, "" ""), """")"),"")</f>
        <v/>
      </c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</row>
    <row r="354">
      <c r="A354" s="12"/>
      <c r="B354" s="12"/>
      <c r="C354" s="12"/>
      <c r="D354" s="12"/>
      <c r="E354" s="12"/>
      <c r="F354" s="13"/>
      <c r="G354" s="291"/>
      <c r="H354" s="12"/>
      <c r="I354" s="12"/>
      <c r="J354" s="12"/>
      <c r="K354" s="12"/>
      <c r="L354" s="13"/>
      <c r="M354" s="30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2" t="str">
        <f>IFERROR(__xludf.DUMMYFUNCTION("IF(Account!$F354&lt;&gt;"""", VALUE(REGEXREPLACE($I354, ""\,"", ""."")), """")"),"")</f>
        <v/>
      </c>
      <c r="O354" s="33" t="str">
        <f>IF(Account!$F354&lt;&gt;"", DATEVALUE(MID($A354,4,3) &amp; LEFT($A354,3) &amp; RIGHT($A354,4)) + TIMEVALUE($B354), "")</f>
        <v/>
      </c>
      <c r="P354" s="34" t="str">
        <f>IF(Account!$F354&lt;&gt;"", DATEVALUE(MID($C354,4,3) &amp; LEFT($C354,3) &amp; RIGHT($C354,4)), "")</f>
        <v/>
      </c>
      <c r="Q354" s="35" t="str">
        <f t="array" ref="Q354">IF($R354&lt;&gt;"",IFERROR(INDEX(ISIN!$B:$B,MATCH($R354,ISIN!$C:$C,0))),)</f>
        <v/>
      </c>
      <c r="R354" s="36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5" t="str">
        <f t="shared" si="1"/>
        <v/>
      </c>
      <c r="T354" s="37" t="str">
        <f t="shared" si="2"/>
        <v/>
      </c>
      <c r="U354" s="38" t="str">
        <f t="shared" si="3"/>
        <v/>
      </c>
      <c r="V354" s="32" t="str">
        <f t="shared" si="4"/>
        <v/>
      </c>
      <c r="W354" s="39" t="str">
        <f>IFERROR(__xludf.DUMMYFUNCTION(" IF(Account!$F354&lt;&gt;"""", SPLIT(Account!$F354, "" ""), """")"),"")</f>
        <v/>
      </c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</row>
    <row r="355">
      <c r="A355" s="12"/>
      <c r="B355" s="12"/>
      <c r="C355" s="12"/>
      <c r="D355" s="12"/>
      <c r="E355" s="12"/>
      <c r="F355" s="13"/>
      <c r="G355" s="12"/>
      <c r="H355" s="12"/>
      <c r="I355" s="12"/>
      <c r="J355" s="12"/>
      <c r="K355" s="12"/>
      <c r="L355" s="13"/>
      <c r="M355" s="30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2" t="str">
        <f>IFERROR(__xludf.DUMMYFUNCTION("IF(Account!$F355&lt;&gt;"""", VALUE(REGEXREPLACE($I355, ""\,"", ""."")), """")"),"")</f>
        <v/>
      </c>
      <c r="O355" s="33" t="str">
        <f>IF(Account!$F355&lt;&gt;"", DATEVALUE(MID($A355,4,3) &amp; LEFT($A355,3) &amp; RIGHT($A355,4)) + TIMEVALUE($B355), "")</f>
        <v/>
      </c>
      <c r="P355" s="34" t="str">
        <f>IF(Account!$F355&lt;&gt;"", DATEVALUE(MID($C355,4,3) &amp; LEFT($C355,3) &amp; RIGHT($C355,4)), "")</f>
        <v/>
      </c>
      <c r="Q355" s="35" t="str">
        <f t="array" ref="Q355">IF($R355&lt;&gt;"",IFERROR(INDEX(ISIN!$B:$B,MATCH($R355,ISIN!$C:$C,0))),)</f>
        <v/>
      </c>
      <c r="R355" s="36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5" t="str">
        <f t="shared" si="1"/>
        <v/>
      </c>
      <c r="T355" s="37" t="str">
        <f t="shared" si="2"/>
        <v/>
      </c>
      <c r="U355" s="38" t="str">
        <f t="shared" si="3"/>
        <v/>
      </c>
      <c r="V355" s="32" t="str">
        <f t="shared" si="4"/>
        <v/>
      </c>
      <c r="W355" s="39" t="str">
        <f>IFERROR(__xludf.DUMMYFUNCTION(" IF(Account!$F355&lt;&gt;"""", SPLIT(Account!$F355, "" ""), """")"),"")</f>
        <v/>
      </c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</row>
    <row r="356">
      <c r="A356" s="12"/>
      <c r="B356" s="12"/>
      <c r="C356" s="12"/>
      <c r="D356" s="12"/>
      <c r="E356" s="12"/>
      <c r="F356" s="13"/>
      <c r="G356" s="291"/>
      <c r="H356" s="12"/>
      <c r="I356" s="12"/>
      <c r="J356" s="12"/>
      <c r="K356" s="12"/>
      <c r="L356" s="13"/>
      <c r="M356" s="30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2" t="str">
        <f>IFERROR(__xludf.DUMMYFUNCTION("IF(Account!$F356&lt;&gt;"""", VALUE(REGEXREPLACE($I356, ""\,"", ""."")), """")"),"")</f>
        <v/>
      </c>
      <c r="O356" s="33" t="str">
        <f>IF(Account!$F356&lt;&gt;"", DATEVALUE(MID($A356,4,3) &amp; LEFT($A356,3) &amp; RIGHT($A356,4)) + TIMEVALUE($B356), "")</f>
        <v/>
      </c>
      <c r="P356" s="34" t="str">
        <f>IF(Account!$F356&lt;&gt;"", DATEVALUE(MID($C356,4,3) &amp; LEFT($C356,3) &amp; RIGHT($C356,4)), "")</f>
        <v/>
      </c>
      <c r="Q356" s="35" t="str">
        <f t="array" ref="Q356">IF($R356&lt;&gt;"",IFERROR(INDEX(ISIN!$B:$B,MATCH($R356,ISIN!$C:$C,0))),)</f>
        <v/>
      </c>
      <c r="R356" s="36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5" t="str">
        <f t="shared" si="1"/>
        <v/>
      </c>
      <c r="T356" s="37" t="str">
        <f t="shared" si="2"/>
        <v/>
      </c>
      <c r="U356" s="38" t="str">
        <f t="shared" si="3"/>
        <v/>
      </c>
      <c r="V356" s="32" t="str">
        <f t="shared" si="4"/>
        <v/>
      </c>
      <c r="W356" s="39" t="str">
        <f>IFERROR(__xludf.DUMMYFUNCTION(" IF(Account!$F356&lt;&gt;"""", SPLIT(Account!$F356, "" ""), """")"),"")</f>
        <v/>
      </c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</row>
    <row r="357">
      <c r="A357" s="12"/>
      <c r="B357" s="12"/>
      <c r="C357" s="12"/>
      <c r="D357" s="12"/>
      <c r="E357" s="12"/>
      <c r="F357" s="13"/>
      <c r="G357" s="12"/>
      <c r="H357" s="12"/>
      <c r="I357" s="12"/>
      <c r="J357" s="12"/>
      <c r="K357" s="12"/>
      <c r="L357" s="13"/>
      <c r="M357" s="30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2" t="str">
        <f>IFERROR(__xludf.DUMMYFUNCTION("IF(Account!$F357&lt;&gt;"""", VALUE(REGEXREPLACE($I357, ""\,"", ""."")), """")"),"")</f>
        <v/>
      </c>
      <c r="O357" s="33" t="str">
        <f>IF(Account!$F357&lt;&gt;"", DATEVALUE(MID($A357,4,3) &amp; LEFT($A357,3) &amp; RIGHT($A357,4)) + TIMEVALUE($B357), "")</f>
        <v/>
      </c>
      <c r="P357" s="34" t="str">
        <f>IF(Account!$F357&lt;&gt;"", DATEVALUE(MID($C357,4,3) &amp; LEFT($C357,3) &amp; RIGHT($C357,4)), "")</f>
        <v/>
      </c>
      <c r="Q357" s="35" t="str">
        <f t="array" ref="Q357">IF($R357&lt;&gt;"",IFERROR(INDEX(ISIN!$B:$B,MATCH($R357,ISIN!$C:$C,0))),)</f>
        <v/>
      </c>
      <c r="R357" s="36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5" t="str">
        <f t="shared" si="1"/>
        <v/>
      </c>
      <c r="T357" s="37" t="str">
        <f t="shared" si="2"/>
        <v/>
      </c>
      <c r="U357" s="38" t="str">
        <f t="shared" si="3"/>
        <v/>
      </c>
      <c r="V357" s="32" t="str">
        <f t="shared" si="4"/>
        <v/>
      </c>
      <c r="W357" s="39" t="str">
        <f>IFERROR(__xludf.DUMMYFUNCTION(" IF(Account!$F357&lt;&gt;"""", SPLIT(Account!$F357, "" ""), """")"),"")</f>
        <v/>
      </c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</row>
    <row r="358">
      <c r="A358" s="12"/>
      <c r="B358" s="12"/>
      <c r="C358" s="12"/>
      <c r="D358" s="12"/>
      <c r="E358" s="12"/>
      <c r="F358" s="13"/>
      <c r="G358" s="12"/>
      <c r="H358" s="12"/>
      <c r="I358" s="12"/>
      <c r="J358" s="12"/>
      <c r="K358" s="12"/>
      <c r="L358" s="13"/>
      <c r="M358" s="30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2" t="str">
        <f>IFERROR(__xludf.DUMMYFUNCTION("IF(Account!$F358&lt;&gt;"""", VALUE(REGEXREPLACE($I358, ""\,"", ""."")), """")"),"")</f>
        <v/>
      </c>
      <c r="O358" s="33" t="str">
        <f>IF(Account!$F358&lt;&gt;"", DATEVALUE(MID($A358,4,3) &amp; LEFT($A358,3) &amp; RIGHT($A358,4)) + TIMEVALUE($B358), "")</f>
        <v/>
      </c>
      <c r="P358" s="34" t="str">
        <f>IF(Account!$F358&lt;&gt;"", DATEVALUE(MID($C358,4,3) &amp; LEFT($C358,3) &amp; RIGHT($C358,4)), "")</f>
        <v/>
      </c>
      <c r="Q358" s="35" t="str">
        <f t="array" ref="Q358">IF($R358&lt;&gt;"",IFERROR(INDEX(ISIN!$B:$B,MATCH($R358,ISIN!$C:$C,0))),)</f>
        <v/>
      </c>
      <c r="R358" s="36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5" t="str">
        <f t="shared" si="1"/>
        <v/>
      </c>
      <c r="T358" s="37" t="str">
        <f t="shared" si="2"/>
        <v/>
      </c>
      <c r="U358" s="38" t="str">
        <f t="shared" si="3"/>
        <v/>
      </c>
      <c r="V358" s="32" t="str">
        <f t="shared" si="4"/>
        <v/>
      </c>
      <c r="W358" s="39" t="str">
        <f>IFERROR(__xludf.DUMMYFUNCTION(" IF(Account!$F358&lt;&gt;"""", SPLIT(Account!$F358, "" ""), """")"),"")</f>
        <v/>
      </c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</row>
    <row r="359">
      <c r="A359" s="12"/>
      <c r="B359" s="12"/>
      <c r="C359" s="12"/>
      <c r="D359" s="12"/>
      <c r="E359" s="12"/>
      <c r="F359" s="13"/>
      <c r="G359" s="291"/>
      <c r="H359" s="12"/>
      <c r="I359" s="12"/>
      <c r="J359" s="12"/>
      <c r="K359" s="12"/>
      <c r="L359" s="13"/>
      <c r="M359" s="30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2" t="str">
        <f>IFERROR(__xludf.DUMMYFUNCTION("IF(Account!$F359&lt;&gt;"""", VALUE(REGEXREPLACE($I359, ""\,"", ""."")), """")"),"")</f>
        <v/>
      </c>
      <c r="O359" s="33" t="str">
        <f>IF(Account!$F359&lt;&gt;"", DATEVALUE(MID($A359,4,3) &amp; LEFT($A359,3) &amp; RIGHT($A359,4)) + TIMEVALUE($B359), "")</f>
        <v/>
      </c>
      <c r="P359" s="34" t="str">
        <f>IF(Account!$F359&lt;&gt;"", DATEVALUE(MID($C359,4,3) &amp; LEFT($C359,3) &amp; RIGHT($C359,4)), "")</f>
        <v/>
      </c>
      <c r="Q359" s="35" t="str">
        <f t="array" ref="Q359">IF($R359&lt;&gt;"",IFERROR(INDEX(ISIN!$B:$B,MATCH($R359,ISIN!$C:$C,0))),)</f>
        <v/>
      </c>
      <c r="R359" s="36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5" t="str">
        <f t="shared" si="1"/>
        <v/>
      </c>
      <c r="T359" s="37" t="str">
        <f t="shared" si="2"/>
        <v/>
      </c>
      <c r="U359" s="38" t="str">
        <f t="shared" si="3"/>
        <v/>
      </c>
      <c r="V359" s="32" t="str">
        <f t="shared" si="4"/>
        <v/>
      </c>
      <c r="W359" s="39" t="str">
        <f>IFERROR(__xludf.DUMMYFUNCTION(" IF(Account!$F359&lt;&gt;"""", SPLIT(Account!$F359, "" ""), """")"),"")</f>
        <v/>
      </c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</row>
    <row r="360">
      <c r="A360" s="12"/>
      <c r="B360" s="12"/>
      <c r="C360" s="12"/>
      <c r="D360" s="12"/>
      <c r="E360" s="12"/>
      <c r="F360" s="13"/>
      <c r="G360" s="12"/>
      <c r="H360" s="12"/>
      <c r="I360" s="12"/>
      <c r="J360" s="12"/>
      <c r="K360" s="12"/>
      <c r="L360" s="13"/>
      <c r="M360" s="30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2" t="str">
        <f>IFERROR(__xludf.DUMMYFUNCTION("IF(Account!$F360&lt;&gt;"""", VALUE(REGEXREPLACE($I360, ""\,"", ""."")), """")"),"")</f>
        <v/>
      </c>
      <c r="O360" s="33" t="str">
        <f>IF(Account!$F360&lt;&gt;"", DATEVALUE(MID($A360,4,3) &amp; LEFT($A360,3) &amp; RIGHT($A360,4)) + TIMEVALUE($B360), "")</f>
        <v/>
      </c>
      <c r="P360" s="34" t="str">
        <f>IF(Account!$F360&lt;&gt;"", DATEVALUE(MID($C360,4,3) &amp; LEFT($C360,3) &amp; RIGHT($C360,4)), "")</f>
        <v/>
      </c>
      <c r="Q360" s="35" t="str">
        <f t="array" ref="Q360">IF($R360&lt;&gt;"",IFERROR(INDEX(ISIN!$B:$B,MATCH($R360,ISIN!$C:$C,0))),)</f>
        <v/>
      </c>
      <c r="R360" s="36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5" t="str">
        <f t="shared" si="1"/>
        <v/>
      </c>
      <c r="T360" s="37" t="str">
        <f t="shared" si="2"/>
        <v/>
      </c>
      <c r="U360" s="38" t="str">
        <f t="shared" si="3"/>
        <v/>
      </c>
      <c r="V360" s="32" t="str">
        <f t="shared" si="4"/>
        <v/>
      </c>
      <c r="W360" s="39" t="str">
        <f>IFERROR(__xludf.DUMMYFUNCTION(" IF(Account!$F360&lt;&gt;"""", SPLIT(Account!$F360, "" ""), """")"),"")</f>
        <v/>
      </c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</row>
    <row r="361">
      <c r="A361" s="12"/>
      <c r="B361" s="12"/>
      <c r="C361" s="12"/>
      <c r="D361" s="12"/>
      <c r="E361" s="12"/>
      <c r="F361" s="13"/>
      <c r="G361" s="12"/>
      <c r="H361" s="12"/>
      <c r="I361" s="12"/>
      <c r="J361" s="12"/>
      <c r="K361" s="12"/>
      <c r="L361" s="13"/>
      <c r="M361" s="30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2" t="str">
        <f>IFERROR(__xludf.DUMMYFUNCTION("IF(Account!$F361&lt;&gt;"""", VALUE(REGEXREPLACE($I361, ""\,"", ""."")), """")"),"")</f>
        <v/>
      </c>
      <c r="O361" s="33" t="str">
        <f>IF(Account!$F361&lt;&gt;"", DATEVALUE(MID($A361,4,3) &amp; LEFT($A361,3) &amp; RIGHT($A361,4)) + TIMEVALUE($B361), "")</f>
        <v/>
      </c>
      <c r="P361" s="34" t="str">
        <f>IF(Account!$F361&lt;&gt;"", DATEVALUE(MID($C361,4,3) &amp; LEFT($C361,3) &amp; RIGHT($C361,4)), "")</f>
        <v/>
      </c>
      <c r="Q361" s="35" t="str">
        <f t="array" ref="Q361">IF($R361&lt;&gt;"",IFERROR(INDEX(ISIN!$B:$B,MATCH($R361,ISIN!$C:$C,0))),)</f>
        <v/>
      </c>
      <c r="R361" s="36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5" t="str">
        <f t="shared" si="1"/>
        <v/>
      </c>
      <c r="T361" s="37" t="str">
        <f t="shared" si="2"/>
        <v/>
      </c>
      <c r="U361" s="38" t="str">
        <f t="shared" si="3"/>
        <v/>
      </c>
      <c r="V361" s="32" t="str">
        <f t="shared" si="4"/>
        <v/>
      </c>
      <c r="W361" s="39" t="str">
        <f>IFERROR(__xludf.DUMMYFUNCTION(" IF(Account!$F361&lt;&gt;"""", SPLIT(Account!$F361, "" ""), """")"),"")</f>
        <v/>
      </c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</row>
    <row r="362">
      <c r="A362" s="12"/>
      <c r="B362" s="12"/>
      <c r="C362" s="12"/>
      <c r="D362" s="12"/>
      <c r="E362" s="12"/>
      <c r="F362" s="13"/>
      <c r="G362" s="291"/>
      <c r="H362" s="12"/>
      <c r="I362" s="12"/>
      <c r="J362" s="12"/>
      <c r="K362" s="12"/>
      <c r="L362" s="13"/>
      <c r="M362" s="30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2" t="str">
        <f>IFERROR(__xludf.DUMMYFUNCTION("IF(Account!$F362&lt;&gt;"""", VALUE(REGEXREPLACE($I362, ""\,"", ""."")), """")"),"")</f>
        <v/>
      </c>
      <c r="O362" s="33" t="str">
        <f>IF(Account!$F362&lt;&gt;"", DATEVALUE(MID($A362,4,3) &amp; LEFT($A362,3) &amp; RIGHT($A362,4)) + TIMEVALUE($B362), "")</f>
        <v/>
      </c>
      <c r="P362" s="34" t="str">
        <f>IF(Account!$F362&lt;&gt;"", DATEVALUE(MID($C362,4,3) &amp; LEFT($C362,3) &amp; RIGHT($C362,4)), "")</f>
        <v/>
      </c>
      <c r="Q362" s="35" t="str">
        <f t="array" ref="Q362">IF($R362&lt;&gt;"",IFERROR(INDEX(ISIN!$B:$B,MATCH($R362,ISIN!$C:$C,0))),)</f>
        <v/>
      </c>
      <c r="R362" s="36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5" t="str">
        <f t="shared" si="1"/>
        <v/>
      </c>
      <c r="T362" s="37" t="str">
        <f t="shared" si="2"/>
        <v/>
      </c>
      <c r="U362" s="38" t="str">
        <f t="shared" si="3"/>
        <v/>
      </c>
      <c r="V362" s="32" t="str">
        <f t="shared" si="4"/>
        <v/>
      </c>
      <c r="W362" s="39" t="str">
        <f>IFERROR(__xludf.DUMMYFUNCTION(" IF(Account!$F362&lt;&gt;"""", SPLIT(Account!$F362, "" ""), """")"),"")</f>
        <v/>
      </c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</row>
    <row r="363">
      <c r="A363" s="12"/>
      <c r="B363" s="12"/>
      <c r="C363" s="12"/>
      <c r="D363" s="12"/>
      <c r="E363" s="12"/>
      <c r="F363" s="13"/>
      <c r="G363" s="291"/>
      <c r="H363" s="12"/>
      <c r="I363" s="12"/>
      <c r="J363" s="12"/>
      <c r="K363" s="12"/>
      <c r="L363" s="13"/>
      <c r="M363" s="30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2" t="str">
        <f>IFERROR(__xludf.DUMMYFUNCTION("IF(Account!$F363&lt;&gt;"""", VALUE(REGEXREPLACE($I363, ""\,"", ""."")), """")"),"")</f>
        <v/>
      </c>
      <c r="O363" s="33" t="str">
        <f>IF(Account!$F363&lt;&gt;"", DATEVALUE(MID($A363,4,3) &amp; LEFT($A363,3) &amp; RIGHT($A363,4)) + TIMEVALUE($B363), "")</f>
        <v/>
      </c>
      <c r="P363" s="34" t="str">
        <f>IF(Account!$F363&lt;&gt;"", DATEVALUE(MID($C363,4,3) &amp; LEFT($C363,3) &amp; RIGHT($C363,4)), "")</f>
        <v/>
      </c>
      <c r="Q363" s="35" t="str">
        <f t="array" ref="Q363">IF($R363&lt;&gt;"",IFERROR(INDEX(ISIN!$B:$B,MATCH($R363,ISIN!$C:$C,0))),)</f>
        <v/>
      </c>
      <c r="R363" s="36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5" t="str">
        <f t="shared" si="1"/>
        <v/>
      </c>
      <c r="T363" s="37" t="str">
        <f t="shared" si="2"/>
        <v/>
      </c>
      <c r="U363" s="38" t="str">
        <f t="shared" si="3"/>
        <v/>
      </c>
      <c r="V363" s="32" t="str">
        <f t="shared" si="4"/>
        <v/>
      </c>
      <c r="W363" s="39" t="str">
        <f>IFERROR(__xludf.DUMMYFUNCTION(" IF(Account!$F363&lt;&gt;"""", SPLIT(Account!$F363, "" ""), """")"),"")</f>
        <v/>
      </c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</row>
    <row r="364">
      <c r="A364" s="12"/>
      <c r="B364" s="12"/>
      <c r="C364" s="12"/>
      <c r="D364" s="12"/>
      <c r="E364" s="12"/>
      <c r="F364" s="13"/>
      <c r="G364" s="291"/>
      <c r="H364" s="12"/>
      <c r="I364" s="12"/>
      <c r="J364" s="12"/>
      <c r="K364" s="12"/>
      <c r="L364" s="13"/>
      <c r="M364" s="30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2" t="str">
        <f>IFERROR(__xludf.DUMMYFUNCTION("IF(Account!$F364&lt;&gt;"""", VALUE(REGEXREPLACE($I364, ""\,"", ""."")), """")"),"")</f>
        <v/>
      </c>
      <c r="O364" s="33" t="str">
        <f>IF(Account!$F364&lt;&gt;"", DATEVALUE(MID($A364,4,3) &amp; LEFT($A364,3) &amp; RIGHT($A364,4)) + TIMEVALUE($B364), "")</f>
        <v/>
      </c>
      <c r="P364" s="34" t="str">
        <f>IF(Account!$F364&lt;&gt;"", DATEVALUE(MID($C364,4,3) &amp; LEFT($C364,3) &amp; RIGHT($C364,4)), "")</f>
        <v/>
      </c>
      <c r="Q364" s="35" t="str">
        <f t="array" ref="Q364">IF($R364&lt;&gt;"",IFERROR(INDEX(ISIN!$B:$B,MATCH($R364,ISIN!$C:$C,0))),)</f>
        <v/>
      </c>
      <c r="R364" s="36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5" t="str">
        <f t="shared" si="1"/>
        <v/>
      </c>
      <c r="T364" s="37" t="str">
        <f t="shared" si="2"/>
        <v/>
      </c>
      <c r="U364" s="38" t="str">
        <f t="shared" si="3"/>
        <v/>
      </c>
      <c r="V364" s="32" t="str">
        <f t="shared" si="4"/>
        <v/>
      </c>
      <c r="W364" s="39" t="str">
        <f>IFERROR(__xludf.DUMMYFUNCTION(" IF(Account!$F364&lt;&gt;"""", SPLIT(Account!$F364, "" ""), """")"),"")</f>
        <v/>
      </c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</row>
    <row r="365">
      <c r="A365" s="12"/>
      <c r="B365" s="12"/>
      <c r="C365" s="12"/>
      <c r="D365" s="12"/>
      <c r="E365" s="12"/>
      <c r="F365" s="13"/>
      <c r="G365" s="291"/>
      <c r="H365" s="12"/>
      <c r="I365" s="12"/>
      <c r="J365" s="12"/>
      <c r="K365" s="12"/>
      <c r="L365" s="13"/>
      <c r="M365" s="30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2" t="str">
        <f>IFERROR(__xludf.DUMMYFUNCTION("IF(Account!$F365&lt;&gt;"""", VALUE(REGEXREPLACE($I365, ""\,"", ""."")), """")"),"")</f>
        <v/>
      </c>
      <c r="O365" s="33" t="str">
        <f>IF(Account!$F365&lt;&gt;"", DATEVALUE(MID($A365,4,3) &amp; LEFT($A365,3) &amp; RIGHT($A365,4)) + TIMEVALUE($B365), "")</f>
        <v/>
      </c>
      <c r="P365" s="34" t="str">
        <f>IF(Account!$F365&lt;&gt;"", DATEVALUE(MID($C365,4,3) &amp; LEFT($C365,3) &amp; RIGHT($C365,4)), "")</f>
        <v/>
      </c>
      <c r="Q365" s="35" t="str">
        <f t="array" ref="Q365">IF($R365&lt;&gt;"",IFERROR(INDEX(ISIN!$B:$B,MATCH($R365,ISIN!$C:$C,0))),)</f>
        <v/>
      </c>
      <c r="R365" s="36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5" t="str">
        <f t="shared" si="1"/>
        <v/>
      </c>
      <c r="T365" s="37" t="str">
        <f t="shared" si="2"/>
        <v/>
      </c>
      <c r="U365" s="38" t="str">
        <f t="shared" si="3"/>
        <v/>
      </c>
      <c r="V365" s="32" t="str">
        <f t="shared" si="4"/>
        <v/>
      </c>
      <c r="W365" s="39" t="str">
        <f>IFERROR(__xludf.DUMMYFUNCTION(" IF(Account!$F365&lt;&gt;"""", SPLIT(Account!$F365, "" ""), """")"),"")</f>
        <v/>
      </c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</row>
    <row r="366">
      <c r="A366" s="12"/>
      <c r="B366" s="12"/>
      <c r="C366" s="12"/>
      <c r="D366" s="12"/>
      <c r="E366" s="12"/>
      <c r="F366" s="13"/>
      <c r="G366" s="12"/>
      <c r="H366" s="12"/>
      <c r="I366" s="12"/>
      <c r="J366" s="12"/>
      <c r="K366" s="12"/>
      <c r="L366" s="13"/>
      <c r="M366" s="30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2" t="str">
        <f>IFERROR(__xludf.DUMMYFUNCTION("IF(Account!$F366&lt;&gt;"""", VALUE(REGEXREPLACE($I366, ""\,"", ""."")), """")"),"")</f>
        <v/>
      </c>
      <c r="O366" s="33" t="str">
        <f>IF(Account!$F366&lt;&gt;"", DATEVALUE(MID($A366,4,3) &amp; LEFT($A366,3) &amp; RIGHT($A366,4)) + TIMEVALUE($B366), "")</f>
        <v/>
      </c>
      <c r="P366" s="34" t="str">
        <f>IF(Account!$F366&lt;&gt;"", DATEVALUE(MID($C366,4,3) &amp; LEFT($C366,3) &amp; RIGHT($C366,4)), "")</f>
        <v/>
      </c>
      <c r="Q366" s="35" t="str">
        <f t="array" ref="Q366">IF($R366&lt;&gt;"",IFERROR(INDEX(ISIN!$B:$B,MATCH($R366,ISIN!$C:$C,0))),)</f>
        <v/>
      </c>
      <c r="R366" s="36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5" t="str">
        <f t="shared" si="1"/>
        <v/>
      </c>
      <c r="T366" s="37" t="str">
        <f t="shared" si="2"/>
        <v/>
      </c>
      <c r="U366" s="38" t="str">
        <f t="shared" si="3"/>
        <v/>
      </c>
      <c r="V366" s="32" t="str">
        <f t="shared" si="4"/>
        <v/>
      </c>
      <c r="W366" s="39" t="str">
        <f>IFERROR(__xludf.DUMMYFUNCTION(" IF(Account!$F366&lt;&gt;"""", SPLIT(Account!$F366, "" ""), """")"),"")</f>
        <v/>
      </c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</row>
    <row r="367">
      <c r="A367" s="12"/>
      <c r="B367" s="12"/>
      <c r="C367" s="12"/>
      <c r="D367" s="12"/>
      <c r="E367" s="12"/>
      <c r="F367" s="13"/>
      <c r="G367" s="291"/>
      <c r="H367" s="12"/>
      <c r="I367" s="12"/>
      <c r="J367" s="12"/>
      <c r="K367" s="12"/>
      <c r="L367" s="13"/>
      <c r="M367" s="30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2" t="str">
        <f>IFERROR(__xludf.DUMMYFUNCTION("IF(Account!$F367&lt;&gt;"""", VALUE(REGEXREPLACE($I367, ""\,"", ""."")), """")"),"")</f>
        <v/>
      </c>
      <c r="O367" s="33" t="str">
        <f>IF(Account!$F367&lt;&gt;"", DATEVALUE(MID($A367,4,3) &amp; LEFT($A367,3) &amp; RIGHT($A367,4)) + TIMEVALUE($B367), "")</f>
        <v/>
      </c>
      <c r="P367" s="34" t="str">
        <f>IF(Account!$F367&lt;&gt;"", DATEVALUE(MID($C367,4,3) &amp; LEFT($C367,3) &amp; RIGHT($C367,4)), "")</f>
        <v/>
      </c>
      <c r="Q367" s="35" t="str">
        <f t="array" ref="Q367">IF($R367&lt;&gt;"",IFERROR(INDEX(ISIN!$B:$B,MATCH($R367,ISIN!$C:$C,0))),)</f>
        <v/>
      </c>
      <c r="R367" s="36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5" t="str">
        <f t="shared" si="1"/>
        <v/>
      </c>
      <c r="T367" s="37" t="str">
        <f t="shared" si="2"/>
        <v/>
      </c>
      <c r="U367" s="38" t="str">
        <f t="shared" si="3"/>
        <v/>
      </c>
      <c r="V367" s="32" t="str">
        <f t="shared" si="4"/>
        <v/>
      </c>
      <c r="W367" s="39" t="str">
        <f>IFERROR(__xludf.DUMMYFUNCTION(" IF(Account!$F367&lt;&gt;"""", SPLIT(Account!$F367, "" ""), """")"),"")</f>
        <v/>
      </c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</row>
    <row r="368">
      <c r="A368" s="12"/>
      <c r="B368" s="12"/>
      <c r="C368" s="12"/>
      <c r="D368" s="12"/>
      <c r="E368" s="12"/>
      <c r="F368" s="13"/>
      <c r="G368" s="12"/>
      <c r="H368" s="12"/>
      <c r="I368" s="12"/>
      <c r="J368" s="12"/>
      <c r="K368" s="12"/>
      <c r="L368" s="13"/>
      <c r="M368" s="30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2" t="str">
        <f>IFERROR(__xludf.DUMMYFUNCTION("IF(Account!$F368&lt;&gt;"""", VALUE(REGEXREPLACE($I368, ""\,"", ""."")), """")"),"")</f>
        <v/>
      </c>
      <c r="O368" s="33" t="str">
        <f>IF(Account!$F368&lt;&gt;"", DATEVALUE(MID($A368,4,3) &amp; LEFT($A368,3) &amp; RIGHT($A368,4)) + TIMEVALUE($B368), "")</f>
        <v/>
      </c>
      <c r="P368" s="34" t="str">
        <f>IF(Account!$F368&lt;&gt;"", DATEVALUE(MID($C368,4,3) &amp; LEFT($C368,3) &amp; RIGHT($C368,4)), "")</f>
        <v/>
      </c>
      <c r="Q368" s="35" t="str">
        <f t="array" ref="Q368">IF($R368&lt;&gt;"",IFERROR(INDEX(ISIN!$B:$B,MATCH($R368,ISIN!$C:$C,0))),)</f>
        <v/>
      </c>
      <c r="R368" s="36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5" t="str">
        <f t="shared" si="1"/>
        <v/>
      </c>
      <c r="T368" s="37" t="str">
        <f t="shared" si="2"/>
        <v/>
      </c>
      <c r="U368" s="38" t="str">
        <f t="shared" si="3"/>
        <v/>
      </c>
      <c r="V368" s="32" t="str">
        <f t="shared" si="4"/>
        <v/>
      </c>
      <c r="W368" s="39" t="str">
        <f>IFERROR(__xludf.DUMMYFUNCTION(" IF(Account!$F368&lt;&gt;"""", SPLIT(Account!$F368, "" ""), """")"),"")</f>
        <v/>
      </c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</row>
    <row r="369">
      <c r="A369" s="12"/>
      <c r="B369" s="12"/>
      <c r="C369" s="12"/>
      <c r="D369" s="12"/>
      <c r="E369" s="12"/>
      <c r="F369" s="13"/>
      <c r="G369" s="291"/>
      <c r="H369" s="12"/>
      <c r="I369" s="12"/>
      <c r="J369" s="12"/>
      <c r="K369" s="12"/>
      <c r="L369" s="13"/>
      <c r="M369" s="30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2" t="str">
        <f>IFERROR(__xludf.DUMMYFUNCTION("IF(Account!$F369&lt;&gt;"""", VALUE(REGEXREPLACE($I369, ""\,"", ""."")), """")"),"")</f>
        <v/>
      </c>
      <c r="O369" s="33" t="str">
        <f>IF(Account!$F369&lt;&gt;"", DATEVALUE(MID($A369,4,3) &amp; LEFT($A369,3) &amp; RIGHT($A369,4)) + TIMEVALUE($B369), "")</f>
        <v/>
      </c>
      <c r="P369" s="34" t="str">
        <f>IF(Account!$F369&lt;&gt;"", DATEVALUE(MID($C369,4,3) &amp; LEFT($C369,3) &amp; RIGHT($C369,4)), "")</f>
        <v/>
      </c>
      <c r="Q369" s="35" t="str">
        <f t="array" ref="Q369">IF($R369&lt;&gt;"",IFERROR(INDEX(ISIN!$B:$B,MATCH($R369,ISIN!$C:$C,0))),)</f>
        <v/>
      </c>
      <c r="R369" s="36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5" t="str">
        <f t="shared" si="1"/>
        <v/>
      </c>
      <c r="T369" s="37" t="str">
        <f t="shared" si="2"/>
        <v/>
      </c>
      <c r="U369" s="38" t="str">
        <f t="shared" si="3"/>
        <v/>
      </c>
      <c r="V369" s="32" t="str">
        <f t="shared" si="4"/>
        <v/>
      </c>
      <c r="W369" s="39" t="str">
        <f>IFERROR(__xludf.DUMMYFUNCTION(" IF(Account!$F369&lt;&gt;"""", SPLIT(Account!$F369, "" ""), """")"),"")</f>
        <v/>
      </c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</row>
    <row r="370">
      <c r="A370" s="12"/>
      <c r="B370" s="12"/>
      <c r="C370" s="12"/>
      <c r="D370" s="12"/>
      <c r="E370" s="12"/>
      <c r="F370" s="13"/>
      <c r="G370" s="12"/>
      <c r="H370" s="12"/>
      <c r="I370" s="12"/>
      <c r="J370" s="12"/>
      <c r="K370" s="12"/>
      <c r="L370" s="13"/>
      <c r="M370" s="30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2" t="str">
        <f>IFERROR(__xludf.DUMMYFUNCTION("IF(Account!$F370&lt;&gt;"""", VALUE(REGEXREPLACE($I370, ""\,"", ""."")), """")"),"")</f>
        <v/>
      </c>
      <c r="O370" s="33" t="str">
        <f>IF(Account!$F370&lt;&gt;"", DATEVALUE(MID($A370,4,3) &amp; LEFT($A370,3) &amp; RIGHT($A370,4)) + TIMEVALUE($B370), "")</f>
        <v/>
      </c>
      <c r="P370" s="34" t="str">
        <f>IF(Account!$F370&lt;&gt;"", DATEVALUE(MID($C370,4,3) &amp; LEFT($C370,3) &amp; RIGHT($C370,4)), "")</f>
        <v/>
      </c>
      <c r="Q370" s="35" t="str">
        <f t="array" ref="Q370">IF($R370&lt;&gt;"",IFERROR(INDEX(ISIN!$B:$B,MATCH($R370,ISIN!$C:$C,0))),)</f>
        <v/>
      </c>
      <c r="R370" s="36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5" t="str">
        <f t="shared" si="1"/>
        <v/>
      </c>
      <c r="T370" s="37" t="str">
        <f t="shared" si="2"/>
        <v/>
      </c>
      <c r="U370" s="38" t="str">
        <f t="shared" si="3"/>
        <v/>
      </c>
      <c r="V370" s="32" t="str">
        <f t="shared" si="4"/>
        <v/>
      </c>
      <c r="W370" s="39" t="str">
        <f>IFERROR(__xludf.DUMMYFUNCTION(" IF(Account!$F370&lt;&gt;"""", SPLIT(Account!$F370, "" ""), """")"),"")</f>
        <v/>
      </c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</row>
    <row r="371">
      <c r="A371" s="12"/>
      <c r="B371" s="12"/>
      <c r="C371" s="12"/>
      <c r="D371" s="12"/>
      <c r="E371" s="12"/>
      <c r="F371" s="13"/>
      <c r="G371" s="12"/>
      <c r="H371" s="12"/>
      <c r="I371" s="12"/>
      <c r="J371" s="12"/>
      <c r="K371" s="12"/>
      <c r="L371" s="13"/>
      <c r="M371" s="30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2" t="str">
        <f>IFERROR(__xludf.DUMMYFUNCTION("IF(Account!$F371&lt;&gt;"""", VALUE(REGEXREPLACE($I371, ""\,"", ""."")), """")"),"")</f>
        <v/>
      </c>
      <c r="O371" s="33" t="str">
        <f>IF(Account!$F371&lt;&gt;"", DATEVALUE(MID($A371,4,3) &amp; LEFT($A371,3) &amp; RIGHT($A371,4)) + TIMEVALUE($B371), "")</f>
        <v/>
      </c>
      <c r="P371" s="34" t="str">
        <f>IF(Account!$F371&lt;&gt;"", DATEVALUE(MID($C371,4,3) &amp; LEFT($C371,3) &amp; RIGHT($C371,4)), "")</f>
        <v/>
      </c>
      <c r="Q371" s="35" t="str">
        <f t="array" ref="Q371">IF($R371&lt;&gt;"",IFERROR(INDEX(ISIN!$B:$B,MATCH($R371,ISIN!$C:$C,0))),)</f>
        <v/>
      </c>
      <c r="R371" s="36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5" t="str">
        <f t="shared" si="1"/>
        <v/>
      </c>
      <c r="T371" s="37" t="str">
        <f t="shared" si="2"/>
        <v/>
      </c>
      <c r="U371" s="38" t="str">
        <f t="shared" si="3"/>
        <v/>
      </c>
      <c r="V371" s="32" t="str">
        <f t="shared" si="4"/>
        <v/>
      </c>
      <c r="W371" s="39" t="str">
        <f>IFERROR(__xludf.DUMMYFUNCTION(" IF(Account!$F371&lt;&gt;"""", SPLIT(Account!$F371, "" ""), """")"),"")</f>
        <v/>
      </c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</row>
    <row r="372">
      <c r="A372" s="12"/>
      <c r="B372" s="12"/>
      <c r="C372" s="12"/>
      <c r="D372" s="12"/>
      <c r="E372" s="12"/>
      <c r="F372" s="13"/>
      <c r="G372" s="12"/>
      <c r="H372" s="12"/>
      <c r="I372" s="12"/>
      <c r="J372" s="12"/>
      <c r="K372" s="12"/>
      <c r="L372" s="13"/>
      <c r="M372" s="30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2" t="str">
        <f>IFERROR(__xludf.DUMMYFUNCTION("IF(Account!$F372&lt;&gt;"""", VALUE(REGEXREPLACE($I372, ""\,"", ""."")), """")"),"")</f>
        <v/>
      </c>
      <c r="O372" s="33" t="str">
        <f>IF(Account!$F372&lt;&gt;"", DATEVALUE(MID($A372,4,3) &amp; LEFT($A372,3) &amp; RIGHT($A372,4)) + TIMEVALUE($B372), "")</f>
        <v/>
      </c>
      <c r="P372" s="34" t="str">
        <f>IF(Account!$F372&lt;&gt;"", DATEVALUE(MID($C372,4,3) &amp; LEFT($C372,3) &amp; RIGHT($C372,4)), "")</f>
        <v/>
      </c>
      <c r="Q372" s="35" t="str">
        <f t="array" ref="Q372">IF($R372&lt;&gt;"",IFERROR(INDEX(ISIN!$B:$B,MATCH($R372,ISIN!$C:$C,0))),)</f>
        <v/>
      </c>
      <c r="R372" s="36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5" t="str">
        <f t="shared" si="1"/>
        <v/>
      </c>
      <c r="T372" s="37" t="str">
        <f t="shared" si="2"/>
        <v/>
      </c>
      <c r="U372" s="38" t="str">
        <f t="shared" si="3"/>
        <v/>
      </c>
      <c r="V372" s="32" t="str">
        <f t="shared" si="4"/>
        <v/>
      </c>
      <c r="W372" s="39" t="str">
        <f>IFERROR(__xludf.DUMMYFUNCTION(" IF(Account!$F372&lt;&gt;"""", SPLIT(Account!$F372, "" ""), """")"),"")</f>
        <v/>
      </c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</row>
    <row r="373">
      <c r="A373" s="12"/>
      <c r="B373" s="12"/>
      <c r="C373" s="12"/>
      <c r="D373" s="12"/>
      <c r="E373" s="12"/>
      <c r="F373" s="13"/>
      <c r="G373" s="291"/>
      <c r="H373" s="12"/>
      <c r="I373" s="12"/>
      <c r="J373" s="12"/>
      <c r="K373" s="12"/>
      <c r="L373" s="13"/>
      <c r="M373" s="30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2" t="str">
        <f>IFERROR(__xludf.DUMMYFUNCTION("IF(Account!$F373&lt;&gt;"""", VALUE(REGEXREPLACE($I373, ""\,"", ""."")), """")"),"")</f>
        <v/>
      </c>
      <c r="O373" s="33" t="str">
        <f>IF(Account!$F373&lt;&gt;"", DATEVALUE(MID($A373,4,3) &amp; LEFT($A373,3) &amp; RIGHT($A373,4)) + TIMEVALUE($B373), "")</f>
        <v/>
      </c>
      <c r="P373" s="34" t="str">
        <f>IF(Account!$F373&lt;&gt;"", DATEVALUE(MID($C373,4,3) &amp; LEFT($C373,3) &amp; RIGHT($C373,4)), "")</f>
        <v/>
      </c>
      <c r="Q373" s="35" t="str">
        <f t="array" ref="Q373">IF($R373&lt;&gt;"",IFERROR(INDEX(ISIN!$B:$B,MATCH($R373,ISIN!$C:$C,0))),)</f>
        <v/>
      </c>
      <c r="R373" s="36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5" t="str">
        <f t="shared" si="1"/>
        <v/>
      </c>
      <c r="T373" s="37" t="str">
        <f t="shared" si="2"/>
        <v/>
      </c>
      <c r="U373" s="38" t="str">
        <f t="shared" si="3"/>
        <v/>
      </c>
      <c r="V373" s="32" t="str">
        <f t="shared" si="4"/>
        <v/>
      </c>
      <c r="W373" s="39" t="str">
        <f>IFERROR(__xludf.DUMMYFUNCTION(" IF(Account!$F373&lt;&gt;"""", SPLIT(Account!$F373, "" ""), """")"),"")</f>
        <v/>
      </c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</row>
    <row r="374">
      <c r="A374" s="12"/>
      <c r="B374" s="12"/>
      <c r="C374" s="12"/>
      <c r="D374" s="12"/>
      <c r="E374" s="12"/>
      <c r="F374" s="13"/>
      <c r="G374" s="12"/>
      <c r="H374" s="12"/>
      <c r="I374" s="12"/>
      <c r="J374" s="12"/>
      <c r="K374" s="12"/>
      <c r="L374" s="13"/>
      <c r="M374" s="30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2" t="str">
        <f>IFERROR(__xludf.DUMMYFUNCTION("IF(Account!$F374&lt;&gt;"""", VALUE(REGEXREPLACE($I374, ""\,"", ""."")), """")"),"")</f>
        <v/>
      </c>
      <c r="O374" s="33" t="str">
        <f>IF(Account!$F374&lt;&gt;"", DATEVALUE(MID($A374,4,3) &amp; LEFT($A374,3) &amp; RIGHT($A374,4)) + TIMEVALUE($B374), "")</f>
        <v/>
      </c>
      <c r="P374" s="34" t="str">
        <f>IF(Account!$F374&lt;&gt;"", DATEVALUE(MID($C374,4,3) &amp; LEFT($C374,3) &amp; RIGHT($C374,4)), "")</f>
        <v/>
      </c>
      <c r="Q374" s="35" t="str">
        <f t="array" ref="Q374">IF($R374&lt;&gt;"",IFERROR(INDEX(ISIN!$B:$B,MATCH($R374,ISIN!$C:$C,0))),)</f>
        <v/>
      </c>
      <c r="R374" s="36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5" t="str">
        <f t="shared" si="1"/>
        <v/>
      </c>
      <c r="T374" s="37" t="str">
        <f t="shared" si="2"/>
        <v/>
      </c>
      <c r="U374" s="38" t="str">
        <f t="shared" si="3"/>
        <v/>
      </c>
      <c r="V374" s="32" t="str">
        <f t="shared" si="4"/>
        <v/>
      </c>
      <c r="W374" s="39" t="str">
        <f>IFERROR(__xludf.DUMMYFUNCTION(" IF(Account!$F374&lt;&gt;"""", SPLIT(Account!$F374, "" ""), """")"),"")</f>
        <v/>
      </c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</row>
    <row r="375">
      <c r="A375" s="12"/>
      <c r="B375" s="12"/>
      <c r="C375" s="12"/>
      <c r="D375" s="12"/>
      <c r="E375" s="12"/>
      <c r="F375" s="13"/>
      <c r="G375" s="291"/>
      <c r="H375" s="12"/>
      <c r="I375" s="12"/>
      <c r="J375" s="12"/>
      <c r="K375" s="12"/>
      <c r="L375" s="13"/>
      <c r="M375" s="30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2" t="str">
        <f>IFERROR(__xludf.DUMMYFUNCTION("IF(Account!$F375&lt;&gt;"""", VALUE(REGEXREPLACE($I375, ""\,"", ""."")), """")"),"")</f>
        <v/>
      </c>
      <c r="O375" s="33" t="str">
        <f>IF(Account!$F375&lt;&gt;"", DATEVALUE(MID($A375,4,3) &amp; LEFT($A375,3) &amp; RIGHT($A375,4)) + TIMEVALUE($B375), "")</f>
        <v/>
      </c>
      <c r="P375" s="34" t="str">
        <f>IF(Account!$F375&lt;&gt;"", DATEVALUE(MID($C375,4,3) &amp; LEFT($C375,3) &amp; RIGHT($C375,4)), "")</f>
        <v/>
      </c>
      <c r="Q375" s="35" t="str">
        <f t="array" ref="Q375">IF($R375&lt;&gt;"",IFERROR(INDEX(ISIN!$B:$B,MATCH($R375,ISIN!$C:$C,0))),)</f>
        <v/>
      </c>
      <c r="R375" s="36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5" t="str">
        <f t="shared" si="1"/>
        <v/>
      </c>
      <c r="T375" s="37" t="str">
        <f t="shared" si="2"/>
        <v/>
      </c>
      <c r="U375" s="38" t="str">
        <f t="shared" si="3"/>
        <v/>
      </c>
      <c r="V375" s="32" t="str">
        <f t="shared" si="4"/>
        <v/>
      </c>
      <c r="W375" s="39" t="str">
        <f>IFERROR(__xludf.DUMMYFUNCTION(" IF(Account!$F375&lt;&gt;"""", SPLIT(Account!$F375, "" ""), """")"),"")</f>
        <v/>
      </c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</row>
    <row r="376">
      <c r="A376" s="12"/>
      <c r="B376" s="12"/>
      <c r="C376" s="12"/>
      <c r="D376" s="12"/>
      <c r="E376" s="12"/>
      <c r="F376" s="13"/>
      <c r="G376" s="12"/>
      <c r="H376" s="12"/>
      <c r="I376" s="12"/>
      <c r="J376" s="12"/>
      <c r="K376" s="12"/>
      <c r="L376" s="13"/>
      <c r="M376" s="30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2" t="str">
        <f>IFERROR(__xludf.DUMMYFUNCTION("IF(Account!$F376&lt;&gt;"""", VALUE(REGEXREPLACE($I376, ""\,"", ""."")), """")"),"")</f>
        <v/>
      </c>
      <c r="O376" s="33" t="str">
        <f>IF(Account!$F376&lt;&gt;"", DATEVALUE(MID($A376,4,3) &amp; LEFT($A376,3) &amp; RIGHT($A376,4)) + TIMEVALUE($B376), "")</f>
        <v/>
      </c>
      <c r="P376" s="34" t="str">
        <f>IF(Account!$F376&lt;&gt;"", DATEVALUE(MID($C376,4,3) &amp; LEFT($C376,3) &amp; RIGHT($C376,4)), "")</f>
        <v/>
      </c>
      <c r="Q376" s="35" t="str">
        <f t="array" ref="Q376">IF($R376&lt;&gt;"",IFERROR(INDEX(ISIN!$B:$B,MATCH($R376,ISIN!$C:$C,0))),)</f>
        <v/>
      </c>
      <c r="R376" s="36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5" t="str">
        <f t="shared" si="1"/>
        <v/>
      </c>
      <c r="T376" s="37" t="str">
        <f t="shared" si="2"/>
        <v/>
      </c>
      <c r="U376" s="38" t="str">
        <f t="shared" si="3"/>
        <v/>
      </c>
      <c r="V376" s="32" t="str">
        <f t="shared" si="4"/>
        <v/>
      </c>
      <c r="W376" s="39" t="str">
        <f>IFERROR(__xludf.DUMMYFUNCTION(" IF(Account!$F376&lt;&gt;"""", SPLIT(Account!$F376, "" ""), """")"),"")</f>
        <v/>
      </c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</row>
    <row r="377">
      <c r="A377" s="12"/>
      <c r="B377" s="12"/>
      <c r="C377" s="12"/>
      <c r="D377" s="12"/>
      <c r="E377" s="12"/>
      <c r="F377" s="13"/>
      <c r="G377" s="291"/>
      <c r="H377" s="12"/>
      <c r="I377" s="12"/>
      <c r="J377" s="12"/>
      <c r="K377" s="12"/>
      <c r="L377" s="13"/>
      <c r="M377" s="30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2" t="str">
        <f>IFERROR(__xludf.DUMMYFUNCTION("IF(Account!$F377&lt;&gt;"""", VALUE(REGEXREPLACE($I377, ""\,"", ""."")), """")"),"")</f>
        <v/>
      </c>
      <c r="O377" s="33" t="str">
        <f>IF(Account!$F377&lt;&gt;"", DATEVALUE(MID($A377,4,3) &amp; LEFT($A377,3) &amp; RIGHT($A377,4)) + TIMEVALUE($B377), "")</f>
        <v/>
      </c>
      <c r="P377" s="34" t="str">
        <f>IF(Account!$F377&lt;&gt;"", DATEVALUE(MID($C377,4,3) &amp; LEFT($C377,3) &amp; RIGHT($C377,4)), "")</f>
        <v/>
      </c>
      <c r="Q377" s="35" t="str">
        <f t="array" ref="Q377">IF($R377&lt;&gt;"",IFERROR(INDEX(ISIN!$B:$B,MATCH($R377,ISIN!$C:$C,0))),)</f>
        <v/>
      </c>
      <c r="R377" s="36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5" t="str">
        <f t="shared" si="1"/>
        <v/>
      </c>
      <c r="T377" s="37" t="str">
        <f t="shared" si="2"/>
        <v/>
      </c>
      <c r="U377" s="38" t="str">
        <f t="shared" si="3"/>
        <v/>
      </c>
      <c r="V377" s="32" t="str">
        <f t="shared" si="4"/>
        <v/>
      </c>
      <c r="W377" s="39" t="str">
        <f>IFERROR(__xludf.DUMMYFUNCTION(" IF(Account!$F377&lt;&gt;"""", SPLIT(Account!$F377, "" ""), """")"),"")</f>
        <v/>
      </c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</row>
    <row r="378">
      <c r="A378" s="12"/>
      <c r="B378" s="12"/>
      <c r="C378" s="12"/>
      <c r="D378" s="12"/>
      <c r="E378" s="12"/>
      <c r="F378" s="13"/>
      <c r="G378" s="12"/>
      <c r="H378" s="12"/>
      <c r="I378" s="12"/>
      <c r="J378" s="12"/>
      <c r="K378" s="12"/>
      <c r="L378" s="13"/>
      <c r="M378" s="30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2" t="str">
        <f>IFERROR(__xludf.DUMMYFUNCTION("IF(Account!$F378&lt;&gt;"""", VALUE(REGEXREPLACE($I378, ""\,"", ""."")), """")"),"")</f>
        <v/>
      </c>
      <c r="O378" s="33" t="str">
        <f>IF(Account!$F378&lt;&gt;"", DATEVALUE(MID($A378,4,3) &amp; LEFT($A378,3) &amp; RIGHT($A378,4)) + TIMEVALUE($B378), "")</f>
        <v/>
      </c>
      <c r="P378" s="34" t="str">
        <f>IF(Account!$F378&lt;&gt;"", DATEVALUE(MID($C378,4,3) &amp; LEFT($C378,3) &amp; RIGHT($C378,4)), "")</f>
        <v/>
      </c>
      <c r="Q378" s="35" t="str">
        <f t="array" ref="Q378">IF($R378&lt;&gt;"",IFERROR(INDEX(ISIN!$B:$B,MATCH($R378,ISIN!$C:$C,0))),)</f>
        <v/>
      </c>
      <c r="R378" s="36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5" t="str">
        <f t="shared" si="1"/>
        <v/>
      </c>
      <c r="T378" s="37" t="str">
        <f t="shared" si="2"/>
        <v/>
      </c>
      <c r="U378" s="38" t="str">
        <f t="shared" si="3"/>
        <v/>
      </c>
      <c r="V378" s="32" t="str">
        <f t="shared" si="4"/>
        <v/>
      </c>
      <c r="W378" s="39" t="str">
        <f>IFERROR(__xludf.DUMMYFUNCTION(" IF(Account!$F378&lt;&gt;"""", SPLIT(Account!$F378, "" ""), """")"),"")</f>
        <v/>
      </c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</row>
    <row r="379">
      <c r="A379" s="12"/>
      <c r="B379" s="12"/>
      <c r="C379" s="12"/>
      <c r="D379" s="12"/>
      <c r="E379" s="12"/>
      <c r="F379" s="13"/>
      <c r="G379" s="291"/>
      <c r="H379" s="12"/>
      <c r="I379" s="12"/>
      <c r="J379" s="12"/>
      <c r="K379" s="12"/>
      <c r="L379" s="13"/>
      <c r="M379" s="30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2" t="str">
        <f>IFERROR(__xludf.DUMMYFUNCTION("IF(Account!$F379&lt;&gt;"""", VALUE(REGEXREPLACE($I379, ""\,"", ""."")), """")"),"")</f>
        <v/>
      </c>
      <c r="O379" s="33" t="str">
        <f>IF(Account!$F379&lt;&gt;"", DATEVALUE(MID($A379,4,3) &amp; LEFT($A379,3) &amp; RIGHT($A379,4)) + TIMEVALUE($B379), "")</f>
        <v/>
      </c>
      <c r="P379" s="34" t="str">
        <f>IF(Account!$F379&lt;&gt;"", DATEVALUE(MID($C379,4,3) &amp; LEFT($C379,3) &amp; RIGHT($C379,4)), "")</f>
        <v/>
      </c>
      <c r="Q379" s="35" t="str">
        <f t="array" ref="Q379">IF($R379&lt;&gt;"",IFERROR(INDEX(ISIN!$B:$B,MATCH($R379,ISIN!$C:$C,0))),)</f>
        <v/>
      </c>
      <c r="R379" s="36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5" t="str">
        <f t="shared" si="1"/>
        <v/>
      </c>
      <c r="T379" s="37" t="str">
        <f t="shared" si="2"/>
        <v/>
      </c>
      <c r="U379" s="38" t="str">
        <f t="shared" si="3"/>
        <v/>
      </c>
      <c r="V379" s="32" t="str">
        <f t="shared" si="4"/>
        <v/>
      </c>
      <c r="W379" s="39" t="str">
        <f>IFERROR(__xludf.DUMMYFUNCTION(" IF(Account!$F379&lt;&gt;"""", SPLIT(Account!$F379, "" ""), """")"),"")</f>
        <v/>
      </c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</row>
    <row r="380">
      <c r="A380" s="12"/>
      <c r="B380" s="12"/>
      <c r="C380" s="12"/>
      <c r="D380" s="12"/>
      <c r="E380" s="12"/>
      <c r="F380" s="13"/>
      <c r="G380" s="12"/>
      <c r="H380" s="12"/>
      <c r="I380" s="12"/>
      <c r="J380" s="12"/>
      <c r="K380" s="12"/>
      <c r="L380" s="13"/>
      <c r="M380" s="30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2" t="str">
        <f>IFERROR(__xludf.DUMMYFUNCTION("IF(Account!$F380&lt;&gt;"""", VALUE(REGEXREPLACE($I380, ""\,"", ""."")), """")"),"")</f>
        <v/>
      </c>
      <c r="O380" s="33" t="str">
        <f>IF(Account!$F380&lt;&gt;"", DATEVALUE(MID($A380,4,3) &amp; LEFT($A380,3) &amp; RIGHT($A380,4)) + TIMEVALUE($B380), "")</f>
        <v/>
      </c>
      <c r="P380" s="34" t="str">
        <f>IF(Account!$F380&lt;&gt;"", DATEVALUE(MID($C380,4,3) &amp; LEFT($C380,3) &amp; RIGHT($C380,4)), "")</f>
        <v/>
      </c>
      <c r="Q380" s="35" t="str">
        <f t="array" ref="Q380">IF($R380&lt;&gt;"",IFERROR(INDEX(ISIN!$B:$B,MATCH($R380,ISIN!$C:$C,0))),)</f>
        <v/>
      </c>
      <c r="R380" s="36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5" t="str">
        <f t="shared" si="1"/>
        <v/>
      </c>
      <c r="T380" s="37" t="str">
        <f t="shared" si="2"/>
        <v/>
      </c>
      <c r="U380" s="38" t="str">
        <f t="shared" si="3"/>
        <v/>
      </c>
      <c r="V380" s="32" t="str">
        <f t="shared" si="4"/>
        <v/>
      </c>
      <c r="W380" s="39" t="str">
        <f>IFERROR(__xludf.DUMMYFUNCTION(" IF(Account!$F380&lt;&gt;"""", SPLIT(Account!$F380, "" ""), """")"),"")</f>
        <v/>
      </c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</row>
    <row r="381">
      <c r="A381" s="12"/>
      <c r="B381" s="12"/>
      <c r="C381" s="12"/>
      <c r="D381" s="12"/>
      <c r="E381" s="12"/>
      <c r="F381" s="13"/>
      <c r="G381" s="291"/>
      <c r="H381" s="12"/>
      <c r="I381" s="12"/>
      <c r="J381" s="12"/>
      <c r="K381" s="12"/>
      <c r="L381" s="13"/>
      <c r="M381" s="30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2" t="str">
        <f>IFERROR(__xludf.DUMMYFUNCTION("IF(Account!$F381&lt;&gt;"""", VALUE(REGEXREPLACE($I381, ""\,"", ""."")), """")"),"")</f>
        <v/>
      </c>
      <c r="O381" s="33" t="str">
        <f>IF(Account!$F381&lt;&gt;"", DATEVALUE(MID($A381,4,3) &amp; LEFT($A381,3) &amp; RIGHT($A381,4)) + TIMEVALUE($B381), "")</f>
        <v/>
      </c>
      <c r="P381" s="34" t="str">
        <f>IF(Account!$F381&lt;&gt;"", DATEVALUE(MID($C381,4,3) &amp; LEFT($C381,3) &amp; RIGHT($C381,4)), "")</f>
        <v/>
      </c>
      <c r="Q381" s="35" t="str">
        <f t="array" ref="Q381">IF($R381&lt;&gt;"",IFERROR(INDEX(ISIN!$B:$B,MATCH($R381,ISIN!$C:$C,0))),)</f>
        <v/>
      </c>
      <c r="R381" s="36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5" t="str">
        <f t="shared" si="1"/>
        <v/>
      </c>
      <c r="T381" s="37" t="str">
        <f t="shared" si="2"/>
        <v/>
      </c>
      <c r="U381" s="38" t="str">
        <f t="shared" si="3"/>
        <v/>
      </c>
      <c r="V381" s="32" t="str">
        <f t="shared" si="4"/>
        <v/>
      </c>
      <c r="W381" s="39" t="str">
        <f>IFERROR(__xludf.DUMMYFUNCTION(" IF(Account!$F381&lt;&gt;"""", SPLIT(Account!$F381, "" ""), """")"),"")</f>
        <v/>
      </c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</row>
    <row r="382">
      <c r="A382" s="12"/>
      <c r="B382" s="12"/>
      <c r="C382" s="12"/>
      <c r="D382" s="12"/>
      <c r="E382" s="12"/>
      <c r="F382" s="13"/>
      <c r="G382" s="291"/>
      <c r="H382" s="12"/>
      <c r="I382" s="12"/>
      <c r="J382" s="12"/>
      <c r="K382" s="12"/>
      <c r="L382" s="13"/>
      <c r="M382" s="30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2" t="str">
        <f>IFERROR(__xludf.DUMMYFUNCTION("IF(Account!$F382&lt;&gt;"""", VALUE(REGEXREPLACE($I382, ""\,"", ""."")), """")"),"")</f>
        <v/>
      </c>
      <c r="O382" s="33" t="str">
        <f>IF(Account!$F382&lt;&gt;"", DATEVALUE(MID($A382,4,3) &amp; LEFT($A382,3) &amp; RIGHT($A382,4)) + TIMEVALUE($B382), "")</f>
        <v/>
      </c>
      <c r="P382" s="34" t="str">
        <f>IF(Account!$F382&lt;&gt;"", DATEVALUE(MID($C382,4,3) &amp; LEFT($C382,3) &amp; RIGHT($C382,4)), "")</f>
        <v/>
      </c>
      <c r="Q382" s="35" t="str">
        <f t="array" ref="Q382">IF($R382&lt;&gt;"",IFERROR(INDEX(ISIN!$B:$B,MATCH($R382,ISIN!$C:$C,0))),)</f>
        <v/>
      </c>
      <c r="R382" s="36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5" t="str">
        <f t="shared" si="1"/>
        <v/>
      </c>
      <c r="T382" s="37" t="str">
        <f t="shared" si="2"/>
        <v/>
      </c>
      <c r="U382" s="38" t="str">
        <f t="shared" si="3"/>
        <v/>
      </c>
      <c r="V382" s="32" t="str">
        <f t="shared" si="4"/>
        <v/>
      </c>
      <c r="W382" s="39" t="str">
        <f>IFERROR(__xludf.DUMMYFUNCTION(" IF(Account!$F382&lt;&gt;"""", SPLIT(Account!$F382, "" ""), """")"),"")</f>
        <v/>
      </c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</row>
    <row r="383">
      <c r="A383" s="12"/>
      <c r="B383" s="12"/>
      <c r="C383" s="12"/>
      <c r="D383" s="12"/>
      <c r="E383" s="12"/>
      <c r="F383" s="13"/>
      <c r="G383" s="291"/>
      <c r="H383" s="12"/>
      <c r="I383" s="12"/>
      <c r="J383" s="12"/>
      <c r="K383" s="12"/>
      <c r="L383" s="13"/>
      <c r="M383" s="30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2" t="str">
        <f>IFERROR(__xludf.DUMMYFUNCTION("IF(Account!$F383&lt;&gt;"""", VALUE(REGEXREPLACE($I383, ""\,"", ""."")), """")"),"")</f>
        <v/>
      </c>
      <c r="O383" s="33" t="str">
        <f>IF(Account!$F383&lt;&gt;"", DATEVALUE(MID($A383,4,3) &amp; LEFT($A383,3) &amp; RIGHT($A383,4)) + TIMEVALUE($B383), "")</f>
        <v/>
      </c>
      <c r="P383" s="34" t="str">
        <f>IF(Account!$F383&lt;&gt;"", DATEVALUE(MID($C383,4,3) &amp; LEFT($C383,3) &amp; RIGHT($C383,4)), "")</f>
        <v/>
      </c>
      <c r="Q383" s="35" t="str">
        <f t="array" ref="Q383">IF($R383&lt;&gt;"",IFERROR(INDEX(ISIN!$B:$B,MATCH($R383,ISIN!$C:$C,0))),)</f>
        <v/>
      </c>
      <c r="R383" s="36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5" t="str">
        <f t="shared" si="1"/>
        <v/>
      </c>
      <c r="T383" s="37" t="str">
        <f t="shared" si="2"/>
        <v/>
      </c>
      <c r="U383" s="38" t="str">
        <f t="shared" si="3"/>
        <v/>
      </c>
      <c r="V383" s="32" t="str">
        <f t="shared" si="4"/>
        <v/>
      </c>
      <c r="W383" s="39" t="str">
        <f>IFERROR(__xludf.DUMMYFUNCTION(" IF(Account!$F383&lt;&gt;"""", SPLIT(Account!$F383, "" ""), """")"),"")</f>
        <v/>
      </c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</row>
    <row r="384">
      <c r="A384" s="12"/>
      <c r="B384" s="12"/>
      <c r="C384" s="12"/>
      <c r="D384" s="12"/>
      <c r="E384" s="12"/>
      <c r="F384" s="13"/>
      <c r="G384" s="291"/>
      <c r="H384" s="12"/>
      <c r="I384" s="12"/>
      <c r="J384" s="12"/>
      <c r="K384" s="12"/>
      <c r="L384" s="13"/>
      <c r="M384" s="30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2" t="str">
        <f>IFERROR(__xludf.DUMMYFUNCTION("IF(Account!$F384&lt;&gt;"""", VALUE(REGEXREPLACE($I384, ""\,"", ""."")), """")"),"")</f>
        <v/>
      </c>
      <c r="O384" s="33" t="str">
        <f>IF(Account!$F384&lt;&gt;"", DATEVALUE(MID($A384,4,3) &amp; LEFT($A384,3) &amp; RIGHT($A384,4)) + TIMEVALUE($B384), "")</f>
        <v/>
      </c>
      <c r="P384" s="34" t="str">
        <f>IF(Account!$F384&lt;&gt;"", DATEVALUE(MID($C384,4,3) &amp; LEFT($C384,3) &amp; RIGHT($C384,4)), "")</f>
        <v/>
      </c>
      <c r="Q384" s="35" t="str">
        <f t="array" ref="Q384">IF($R384&lt;&gt;"",IFERROR(INDEX(ISIN!$B:$B,MATCH($R384,ISIN!$C:$C,0))),)</f>
        <v/>
      </c>
      <c r="R384" s="36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5" t="str">
        <f t="shared" si="1"/>
        <v/>
      </c>
      <c r="T384" s="37" t="str">
        <f t="shared" si="2"/>
        <v/>
      </c>
      <c r="U384" s="38" t="str">
        <f t="shared" si="3"/>
        <v/>
      </c>
      <c r="V384" s="32" t="str">
        <f t="shared" si="4"/>
        <v/>
      </c>
      <c r="W384" s="39" t="str">
        <f>IFERROR(__xludf.DUMMYFUNCTION(" IF(Account!$F384&lt;&gt;"""", SPLIT(Account!$F384, "" ""), """")"),"")</f>
        <v/>
      </c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</row>
    <row r="385">
      <c r="A385" s="12"/>
      <c r="B385" s="12"/>
      <c r="C385" s="12"/>
      <c r="D385" s="12"/>
      <c r="E385" s="12"/>
      <c r="F385" s="13"/>
      <c r="G385" s="291"/>
      <c r="H385" s="12"/>
      <c r="I385" s="12"/>
      <c r="J385" s="12"/>
      <c r="K385" s="12"/>
      <c r="L385" s="13"/>
      <c r="M385" s="30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2" t="str">
        <f>IFERROR(__xludf.DUMMYFUNCTION("IF(Account!$F385&lt;&gt;"""", VALUE(REGEXREPLACE($I385, ""\,"", ""."")), """")"),"")</f>
        <v/>
      </c>
      <c r="O385" s="33" t="str">
        <f>IF(Account!$F385&lt;&gt;"", DATEVALUE(MID($A385,4,3) &amp; LEFT($A385,3) &amp; RIGHT($A385,4)) + TIMEVALUE($B385), "")</f>
        <v/>
      </c>
      <c r="P385" s="34" t="str">
        <f>IF(Account!$F385&lt;&gt;"", DATEVALUE(MID($C385,4,3) &amp; LEFT($C385,3) &amp; RIGHT($C385,4)), "")</f>
        <v/>
      </c>
      <c r="Q385" s="35" t="str">
        <f t="array" ref="Q385">IF($R385&lt;&gt;"",IFERROR(INDEX(ISIN!$B:$B,MATCH($R385,ISIN!$C:$C,0))),)</f>
        <v/>
      </c>
      <c r="R385" s="36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5" t="str">
        <f t="shared" si="1"/>
        <v/>
      </c>
      <c r="T385" s="37" t="str">
        <f t="shared" si="2"/>
        <v/>
      </c>
      <c r="U385" s="38" t="str">
        <f t="shared" si="3"/>
        <v/>
      </c>
      <c r="V385" s="32" t="str">
        <f t="shared" si="4"/>
        <v/>
      </c>
      <c r="W385" s="39" t="str">
        <f>IFERROR(__xludf.DUMMYFUNCTION(" IF(Account!$F385&lt;&gt;"""", SPLIT(Account!$F385, "" ""), """")"),"")</f>
        <v/>
      </c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</row>
    <row r="386">
      <c r="A386" s="12"/>
      <c r="B386" s="12"/>
      <c r="C386" s="12"/>
      <c r="D386" s="12"/>
      <c r="E386" s="12"/>
      <c r="F386" s="13"/>
      <c r="G386" s="291"/>
      <c r="H386" s="12"/>
      <c r="I386" s="12"/>
      <c r="J386" s="12"/>
      <c r="K386" s="12"/>
      <c r="L386" s="13"/>
      <c r="M386" s="30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2" t="str">
        <f>IFERROR(__xludf.DUMMYFUNCTION("IF(Account!$F386&lt;&gt;"""", VALUE(REGEXREPLACE($I386, ""\,"", ""."")), """")"),"")</f>
        <v/>
      </c>
      <c r="O386" s="33" t="str">
        <f>IF(Account!$F386&lt;&gt;"", DATEVALUE(MID($A386,4,3) &amp; LEFT($A386,3) &amp; RIGHT($A386,4)) + TIMEVALUE($B386), "")</f>
        <v/>
      </c>
      <c r="P386" s="34" t="str">
        <f>IF(Account!$F386&lt;&gt;"", DATEVALUE(MID($C386,4,3) &amp; LEFT($C386,3) &amp; RIGHT($C386,4)), "")</f>
        <v/>
      </c>
      <c r="Q386" s="35" t="str">
        <f t="array" ref="Q386">IF($R386&lt;&gt;"",IFERROR(INDEX(ISIN!$B:$B,MATCH($R386,ISIN!$C:$C,0))),)</f>
        <v/>
      </c>
      <c r="R386" s="36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5" t="str">
        <f t="shared" si="1"/>
        <v/>
      </c>
      <c r="T386" s="37" t="str">
        <f t="shared" si="2"/>
        <v/>
      </c>
      <c r="U386" s="38" t="str">
        <f t="shared" si="3"/>
        <v/>
      </c>
      <c r="V386" s="32" t="str">
        <f t="shared" si="4"/>
        <v/>
      </c>
      <c r="W386" s="39" t="str">
        <f>IFERROR(__xludf.DUMMYFUNCTION(" IF(Account!$F386&lt;&gt;"""", SPLIT(Account!$F386, "" ""), """")"),"")</f>
        <v/>
      </c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</row>
    <row r="387">
      <c r="A387" s="12"/>
      <c r="B387" s="12"/>
      <c r="C387" s="12"/>
      <c r="D387" s="12"/>
      <c r="E387" s="12"/>
      <c r="F387" s="13"/>
      <c r="G387" s="291"/>
      <c r="H387" s="12"/>
      <c r="I387" s="12"/>
      <c r="J387" s="12"/>
      <c r="K387" s="12"/>
      <c r="L387" s="13"/>
      <c r="M387" s="30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2" t="str">
        <f>IFERROR(__xludf.DUMMYFUNCTION("IF(Account!$F387&lt;&gt;"""", VALUE(REGEXREPLACE($I387, ""\,"", ""."")), """")"),"")</f>
        <v/>
      </c>
      <c r="O387" s="33" t="str">
        <f>IF(Account!$F387&lt;&gt;"", DATEVALUE(MID($A387,4,3) &amp; LEFT($A387,3) &amp; RIGHT($A387,4)) + TIMEVALUE($B387), "")</f>
        <v/>
      </c>
      <c r="P387" s="34" t="str">
        <f>IF(Account!$F387&lt;&gt;"", DATEVALUE(MID($C387,4,3) &amp; LEFT($C387,3) &amp; RIGHT($C387,4)), "")</f>
        <v/>
      </c>
      <c r="Q387" s="35" t="str">
        <f t="array" ref="Q387">IF($R387&lt;&gt;"",IFERROR(INDEX(ISIN!$B:$B,MATCH($R387,ISIN!$C:$C,0))),)</f>
        <v/>
      </c>
      <c r="R387" s="36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5" t="str">
        <f t="shared" si="1"/>
        <v/>
      </c>
      <c r="T387" s="37" t="str">
        <f t="shared" si="2"/>
        <v/>
      </c>
      <c r="U387" s="38" t="str">
        <f t="shared" si="3"/>
        <v/>
      </c>
      <c r="V387" s="32" t="str">
        <f t="shared" si="4"/>
        <v/>
      </c>
      <c r="W387" s="39" t="str">
        <f>IFERROR(__xludf.DUMMYFUNCTION(" IF(Account!$F387&lt;&gt;"""", SPLIT(Account!$F387, "" ""), """")"),"")</f>
        <v/>
      </c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</row>
    <row r="388">
      <c r="A388" s="12"/>
      <c r="B388" s="12"/>
      <c r="C388" s="12"/>
      <c r="D388" s="12"/>
      <c r="E388" s="12"/>
      <c r="F388" s="13"/>
      <c r="G388" s="291"/>
      <c r="H388" s="12"/>
      <c r="I388" s="12"/>
      <c r="J388" s="12"/>
      <c r="K388" s="12"/>
      <c r="L388" s="13"/>
      <c r="M388" s="30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2" t="str">
        <f>IFERROR(__xludf.DUMMYFUNCTION("IF(Account!$F388&lt;&gt;"""", VALUE(REGEXREPLACE($I388, ""\,"", ""."")), """")"),"")</f>
        <v/>
      </c>
      <c r="O388" s="33" t="str">
        <f>IF(Account!$F388&lt;&gt;"", DATEVALUE(MID($A388,4,3) &amp; LEFT($A388,3) &amp; RIGHT($A388,4)) + TIMEVALUE($B388), "")</f>
        <v/>
      </c>
      <c r="P388" s="34" t="str">
        <f>IF(Account!$F388&lt;&gt;"", DATEVALUE(MID($C388,4,3) &amp; LEFT($C388,3) &amp; RIGHT($C388,4)), "")</f>
        <v/>
      </c>
      <c r="Q388" s="35" t="str">
        <f t="array" ref="Q388">IF($R388&lt;&gt;"",IFERROR(INDEX(ISIN!$B:$B,MATCH($R388,ISIN!$C:$C,0))),)</f>
        <v/>
      </c>
      <c r="R388" s="36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5" t="str">
        <f t="shared" si="1"/>
        <v/>
      </c>
      <c r="T388" s="37" t="str">
        <f t="shared" si="2"/>
        <v/>
      </c>
      <c r="U388" s="38" t="str">
        <f t="shared" si="3"/>
        <v/>
      </c>
      <c r="V388" s="32" t="str">
        <f t="shared" si="4"/>
        <v/>
      </c>
      <c r="W388" s="39" t="str">
        <f>IFERROR(__xludf.DUMMYFUNCTION(" IF(Account!$F388&lt;&gt;"""", SPLIT(Account!$F388, "" ""), """")"),"")</f>
        <v/>
      </c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</row>
    <row r="389">
      <c r="A389" s="12"/>
      <c r="B389" s="12"/>
      <c r="C389" s="12"/>
      <c r="D389" s="12"/>
      <c r="E389" s="12"/>
      <c r="F389" s="13"/>
      <c r="G389" s="12"/>
      <c r="H389" s="12"/>
      <c r="I389" s="12"/>
      <c r="J389" s="12"/>
      <c r="K389" s="12"/>
      <c r="L389" s="13"/>
      <c r="M389" s="30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2" t="str">
        <f>IFERROR(__xludf.DUMMYFUNCTION("IF(Account!$F389&lt;&gt;"""", VALUE(REGEXREPLACE($I389, ""\,"", ""."")), """")"),"")</f>
        <v/>
      </c>
      <c r="O389" s="33" t="str">
        <f>IF(Account!$F389&lt;&gt;"", DATEVALUE(MID($A389,4,3) &amp; LEFT($A389,3) &amp; RIGHT($A389,4)) + TIMEVALUE($B389), "")</f>
        <v/>
      </c>
      <c r="P389" s="34" t="str">
        <f>IF(Account!$F389&lt;&gt;"", DATEVALUE(MID($C389,4,3) &amp; LEFT($C389,3) &amp; RIGHT($C389,4)), "")</f>
        <v/>
      </c>
      <c r="Q389" s="35" t="str">
        <f t="array" ref="Q389">IF($R389&lt;&gt;"",IFERROR(INDEX(ISIN!$B:$B,MATCH($R389,ISIN!$C:$C,0))),)</f>
        <v/>
      </c>
      <c r="R389" s="36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5" t="str">
        <f t="shared" si="1"/>
        <v/>
      </c>
      <c r="T389" s="37" t="str">
        <f t="shared" si="2"/>
        <v/>
      </c>
      <c r="U389" s="38" t="str">
        <f t="shared" si="3"/>
        <v/>
      </c>
      <c r="V389" s="32" t="str">
        <f t="shared" si="4"/>
        <v/>
      </c>
      <c r="W389" s="39" t="str">
        <f>IFERROR(__xludf.DUMMYFUNCTION(" IF(Account!$F389&lt;&gt;"""", SPLIT(Account!$F389, "" ""), """")"),"")</f>
        <v/>
      </c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</row>
    <row r="390">
      <c r="A390" s="12"/>
      <c r="B390" s="12"/>
      <c r="C390" s="12"/>
      <c r="D390" s="12"/>
      <c r="E390" s="12"/>
      <c r="F390" s="13"/>
      <c r="G390" s="291"/>
      <c r="H390" s="12"/>
      <c r="I390" s="12"/>
      <c r="J390" s="12"/>
      <c r="K390" s="12"/>
      <c r="L390" s="13"/>
      <c r="M390" s="30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2" t="str">
        <f>IFERROR(__xludf.DUMMYFUNCTION("IF(Account!$F390&lt;&gt;"""", VALUE(REGEXREPLACE($I390, ""\,"", ""."")), """")"),"")</f>
        <v/>
      </c>
      <c r="O390" s="33" t="str">
        <f>IF(Account!$F390&lt;&gt;"", DATEVALUE(MID($A390,4,3) &amp; LEFT($A390,3) &amp; RIGHT($A390,4)) + TIMEVALUE($B390), "")</f>
        <v/>
      </c>
      <c r="P390" s="34" t="str">
        <f>IF(Account!$F390&lt;&gt;"", DATEVALUE(MID($C390,4,3) &amp; LEFT($C390,3) &amp; RIGHT($C390,4)), "")</f>
        <v/>
      </c>
      <c r="Q390" s="35" t="str">
        <f t="array" ref="Q390">IF($R390&lt;&gt;"",IFERROR(INDEX(ISIN!$B:$B,MATCH($R390,ISIN!$C:$C,0))),)</f>
        <v/>
      </c>
      <c r="R390" s="36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5" t="str">
        <f t="shared" si="1"/>
        <v/>
      </c>
      <c r="T390" s="37" t="str">
        <f t="shared" si="2"/>
        <v/>
      </c>
      <c r="U390" s="38" t="str">
        <f t="shared" si="3"/>
        <v/>
      </c>
      <c r="V390" s="32" t="str">
        <f t="shared" si="4"/>
        <v/>
      </c>
      <c r="W390" s="39" t="str">
        <f>IFERROR(__xludf.DUMMYFUNCTION(" IF(Account!$F390&lt;&gt;"""", SPLIT(Account!$F390, "" ""), """")"),"")</f>
        <v/>
      </c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</row>
    <row r="391">
      <c r="A391" s="12"/>
      <c r="B391" s="12"/>
      <c r="C391" s="12"/>
      <c r="D391" s="12"/>
      <c r="E391" s="12"/>
      <c r="F391" s="13"/>
      <c r="G391" s="12"/>
      <c r="H391" s="12"/>
      <c r="I391" s="12"/>
      <c r="J391" s="12"/>
      <c r="K391" s="12"/>
      <c r="L391" s="13"/>
      <c r="M391" s="30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2" t="str">
        <f>IFERROR(__xludf.DUMMYFUNCTION("IF(Account!$F391&lt;&gt;"""", VALUE(REGEXREPLACE($I391, ""\,"", ""."")), """")"),"")</f>
        <v/>
      </c>
      <c r="O391" s="33" t="str">
        <f>IF(Account!$F391&lt;&gt;"", DATEVALUE(MID($A391,4,3) &amp; LEFT($A391,3) &amp; RIGHT($A391,4)) + TIMEVALUE($B391), "")</f>
        <v/>
      </c>
      <c r="P391" s="34" t="str">
        <f>IF(Account!$F391&lt;&gt;"", DATEVALUE(MID($C391,4,3) &amp; LEFT($C391,3) &amp; RIGHT($C391,4)), "")</f>
        <v/>
      </c>
      <c r="Q391" s="35" t="str">
        <f t="array" ref="Q391">IF($R391&lt;&gt;"",IFERROR(INDEX(ISIN!$B:$B,MATCH($R391,ISIN!$C:$C,0))),)</f>
        <v/>
      </c>
      <c r="R391" s="36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5" t="str">
        <f t="shared" si="1"/>
        <v/>
      </c>
      <c r="T391" s="37" t="str">
        <f t="shared" si="2"/>
        <v/>
      </c>
      <c r="U391" s="38" t="str">
        <f t="shared" si="3"/>
        <v/>
      </c>
      <c r="V391" s="32" t="str">
        <f t="shared" si="4"/>
        <v/>
      </c>
      <c r="W391" s="39" t="str">
        <f>IFERROR(__xludf.DUMMYFUNCTION(" IF(Account!$F391&lt;&gt;"""", SPLIT(Account!$F391, "" ""), """")"),"")</f>
        <v/>
      </c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</row>
    <row r="392">
      <c r="A392" s="12"/>
      <c r="B392" s="12"/>
      <c r="C392" s="12"/>
      <c r="D392" s="12"/>
      <c r="E392" s="12"/>
      <c r="F392" s="13"/>
      <c r="G392" s="291"/>
      <c r="H392" s="12"/>
      <c r="I392" s="12"/>
      <c r="J392" s="12"/>
      <c r="K392" s="12"/>
      <c r="L392" s="13"/>
      <c r="M392" s="30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2" t="str">
        <f>IFERROR(__xludf.DUMMYFUNCTION("IF(Account!$F392&lt;&gt;"""", VALUE(REGEXREPLACE($I392, ""\,"", ""."")), """")"),"")</f>
        <v/>
      </c>
      <c r="O392" s="33" t="str">
        <f>IF(Account!$F392&lt;&gt;"", DATEVALUE(MID($A392,4,3) &amp; LEFT($A392,3) &amp; RIGHT($A392,4)) + TIMEVALUE($B392), "")</f>
        <v/>
      </c>
      <c r="P392" s="34" t="str">
        <f>IF(Account!$F392&lt;&gt;"", DATEVALUE(MID($C392,4,3) &amp; LEFT($C392,3) &amp; RIGHT($C392,4)), "")</f>
        <v/>
      </c>
      <c r="Q392" s="35" t="str">
        <f t="array" ref="Q392">IF($R392&lt;&gt;"",IFERROR(INDEX(ISIN!$B:$B,MATCH($R392,ISIN!$C:$C,0))),)</f>
        <v/>
      </c>
      <c r="R392" s="36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5" t="str">
        <f t="shared" si="1"/>
        <v/>
      </c>
      <c r="T392" s="37" t="str">
        <f t="shared" si="2"/>
        <v/>
      </c>
      <c r="U392" s="38" t="str">
        <f t="shared" si="3"/>
        <v/>
      </c>
      <c r="V392" s="32" t="str">
        <f t="shared" si="4"/>
        <v/>
      </c>
      <c r="W392" s="39" t="str">
        <f>IFERROR(__xludf.DUMMYFUNCTION(" IF(Account!$F392&lt;&gt;"""", SPLIT(Account!$F392, "" ""), """")"),"")</f>
        <v/>
      </c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</row>
    <row r="393">
      <c r="A393" s="12"/>
      <c r="B393" s="12"/>
      <c r="C393" s="12"/>
      <c r="D393" s="12"/>
      <c r="E393" s="12"/>
      <c r="F393" s="13"/>
      <c r="G393" s="291"/>
      <c r="H393" s="12"/>
      <c r="I393" s="12"/>
      <c r="J393" s="12"/>
      <c r="K393" s="12"/>
      <c r="L393" s="13"/>
      <c r="M393" s="30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2" t="str">
        <f>IFERROR(__xludf.DUMMYFUNCTION("IF(Account!$F393&lt;&gt;"""", VALUE(REGEXREPLACE($I393, ""\,"", ""."")), """")"),"")</f>
        <v/>
      </c>
      <c r="O393" s="33" t="str">
        <f>IF(Account!$F393&lt;&gt;"", DATEVALUE(MID($A393,4,3) &amp; LEFT($A393,3) &amp; RIGHT($A393,4)) + TIMEVALUE($B393), "")</f>
        <v/>
      </c>
      <c r="P393" s="34" t="str">
        <f>IF(Account!$F393&lt;&gt;"", DATEVALUE(MID($C393,4,3) &amp; LEFT($C393,3) &amp; RIGHT($C393,4)), "")</f>
        <v/>
      </c>
      <c r="Q393" s="35" t="str">
        <f t="array" ref="Q393">IF($R393&lt;&gt;"",IFERROR(INDEX(ISIN!$B:$B,MATCH($R393,ISIN!$C:$C,0))),)</f>
        <v/>
      </c>
      <c r="R393" s="36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5" t="str">
        <f t="shared" si="1"/>
        <v/>
      </c>
      <c r="T393" s="37" t="str">
        <f t="shared" si="2"/>
        <v/>
      </c>
      <c r="U393" s="38" t="str">
        <f t="shared" si="3"/>
        <v/>
      </c>
      <c r="V393" s="32" t="str">
        <f t="shared" si="4"/>
        <v/>
      </c>
      <c r="W393" s="39" t="str">
        <f>IFERROR(__xludf.DUMMYFUNCTION(" IF(Account!$F393&lt;&gt;"""", SPLIT(Account!$F393, "" ""), """")"),"")</f>
        <v/>
      </c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</row>
    <row r="394">
      <c r="A394" s="12"/>
      <c r="B394" s="12"/>
      <c r="C394" s="12"/>
      <c r="D394" s="12"/>
      <c r="E394" s="12"/>
      <c r="F394" s="13"/>
      <c r="G394" s="12"/>
      <c r="H394" s="12"/>
      <c r="I394" s="12"/>
      <c r="J394" s="12"/>
      <c r="K394" s="12"/>
      <c r="L394" s="13"/>
      <c r="M394" s="30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2" t="str">
        <f>IFERROR(__xludf.DUMMYFUNCTION("IF(Account!$F394&lt;&gt;"""", VALUE(REGEXREPLACE($I394, ""\,"", ""."")), """")"),"")</f>
        <v/>
      </c>
      <c r="O394" s="33" t="str">
        <f>IF(Account!$F394&lt;&gt;"", DATEVALUE(MID($A394,4,3) &amp; LEFT($A394,3) &amp; RIGHT($A394,4)) + TIMEVALUE($B394), "")</f>
        <v/>
      </c>
      <c r="P394" s="34" t="str">
        <f>IF(Account!$F394&lt;&gt;"", DATEVALUE(MID($C394,4,3) &amp; LEFT($C394,3) &amp; RIGHT($C394,4)), "")</f>
        <v/>
      </c>
      <c r="Q394" s="35" t="str">
        <f t="array" ref="Q394">IF($R394&lt;&gt;"",IFERROR(INDEX(ISIN!$B:$B,MATCH($R394,ISIN!$C:$C,0))),)</f>
        <v/>
      </c>
      <c r="R394" s="36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5" t="str">
        <f t="shared" si="1"/>
        <v/>
      </c>
      <c r="T394" s="37" t="str">
        <f t="shared" si="2"/>
        <v/>
      </c>
      <c r="U394" s="38" t="str">
        <f t="shared" si="3"/>
        <v/>
      </c>
      <c r="V394" s="32" t="str">
        <f t="shared" si="4"/>
        <v/>
      </c>
      <c r="W394" s="39" t="str">
        <f>IFERROR(__xludf.DUMMYFUNCTION(" IF(Account!$F394&lt;&gt;"""", SPLIT(Account!$F394, "" ""), """")"),"")</f>
        <v/>
      </c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</row>
    <row r="395">
      <c r="A395" s="12"/>
      <c r="B395" s="12"/>
      <c r="C395" s="12"/>
      <c r="D395" s="12"/>
      <c r="E395" s="12"/>
      <c r="F395" s="13"/>
      <c r="G395" s="291"/>
      <c r="H395" s="12"/>
      <c r="I395" s="12"/>
      <c r="J395" s="12"/>
      <c r="K395" s="12"/>
      <c r="L395" s="13"/>
      <c r="M395" s="30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2" t="str">
        <f>IFERROR(__xludf.DUMMYFUNCTION("IF(Account!$F395&lt;&gt;"""", VALUE(REGEXREPLACE($I395, ""\,"", ""."")), """")"),"")</f>
        <v/>
      </c>
      <c r="O395" s="33" t="str">
        <f>IF(Account!$F395&lt;&gt;"", DATEVALUE(MID($A395,4,3) &amp; LEFT($A395,3) &amp; RIGHT($A395,4)) + TIMEVALUE($B395), "")</f>
        <v/>
      </c>
      <c r="P395" s="34" t="str">
        <f>IF(Account!$F395&lt;&gt;"", DATEVALUE(MID($C395,4,3) &amp; LEFT($C395,3) &amp; RIGHT($C395,4)), "")</f>
        <v/>
      </c>
      <c r="Q395" s="35" t="str">
        <f t="array" ref="Q395">IF($R395&lt;&gt;"",IFERROR(INDEX(ISIN!$B:$B,MATCH($R395,ISIN!$C:$C,0))),)</f>
        <v/>
      </c>
      <c r="R395" s="36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5" t="str">
        <f t="shared" si="1"/>
        <v/>
      </c>
      <c r="T395" s="37" t="str">
        <f t="shared" si="2"/>
        <v/>
      </c>
      <c r="U395" s="38" t="str">
        <f t="shared" si="3"/>
        <v/>
      </c>
      <c r="V395" s="32" t="str">
        <f t="shared" si="4"/>
        <v/>
      </c>
      <c r="W395" s="39" t="str">
        <f>IFERROR(__xludf.DUMMYFUNCTION(" IF(Account!$F395&lt;&gt;"""", SPLIT(Account!$F395, "" ""), """")"),"")</f>
        <v/>
      </c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</row>
    <row r="396">
      <c r="A396" s="12"/>
      <c r="B396" s="12"/>
      <c r="C396" s="12"/>
      <c r="D396" s="12"/>
      <c r="E396" s="12"/>
      <c r="F396" s="13"/>
      <c r="G396" s="12"/>
      <c r="H396" s="12"/>
      <c r="I396" s="12"/>
      <c r="J396" s="12"/>
      <c r="K396" s="12"/>
      <c r="L396" s="13"/>
      <c r="M396" s="30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2" t="str">
        <f>IFERROR(__xludf.DUMMYFUNCTION("IF(Account!$F396&lt;&gt;"""", VALUE(REGEXREPLACE($I396, ""\,"", ""."")), """")"),"")</f>
        <v/>
      </c>
      <c r="O396" s="33" t="str">
        <f>IF(Account!$F396&lt;&gt;"", DATEVALUE(MID($A396,4,3) &amp; LEFT($A396,3) &amp; RIGHT($A396,4)) + TIMEVALUE($B396), "")</f>
        <v/>
      </c>
      <c r="P396" s="34" t="str">
        <f>IF(Account!$F396&lt;&gt;"", DATEVALUE(MID($C396,4,3) &amp; LEFT($C396,3) &amp; RIGHT($C396,4)), "")</f>
        <v/>
      </c>
      <c r="Q396" s="35" t="str">
        <f t="array" ref="Q396">IF($R396&lt;&gt;"",IFERROR(INDEX(ISIN!$B:$B,MATCH($R396,ISIN!$C:$C,0))),)</f>
        <v/>
      </c>
      <c r="R396" s="36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5" t="str">
        <f t="shared" si="1"/>
        <v/>
      </c>
      <c r="T396" s="37" t="str">
        <f t="shared" si="2"/>
        <v/>
      </c>
      <c r="U396" s="38" t="str">
        <f t="shared" si="3"/>
        <v/>
      </c>
      <c r="V396" s="32" t="str">
        <f t="shared" si="4"/>
        <v/>
      </c>
      <c r="W396" s="39" t="str">
        <f>IFERROR(__xludf.DUMMYFUNCTION(" IF(Account!$F396&lt;&gt;"""", SPLIT(Account!$F396, "" ""), """")"),"")</f>
        <v/>
      </c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</row>
    <row r="397">
      <c r="A397" s="12"/>
      <c r="B397" s="12"/>
      <c r="C397" s="12"/>
      <c r="D397" s="12"/>
      <c r="E397" s="12"/>
      <c r="F397" s="13"/>
      <c r="G397" s="291"/>
      <c r="H397" s="12"/>
      <c r="I397" s="12"/>
      <c r="J397" s="12"/>
      <c r="K397" s="12"/>
      <c r="L397" s="13"/>
      <c r="M397" s="30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2" t="str">
        <f>IFERROR(__xludf.DUMMYFUNCTION("IF(Account!$F397&lt;&gt;"""", VALUE(REGEXREPLACE($I397, ""\,"", ""."")), """")"),"")</f>
        <v/>
      </c>
      <c r="O397" s="33" t="str">
        <f>IF(Account!$F397&lt;&gt;"", DATEVALUE(MID($A397,4,3) &amp; LEFT($A397,3) &amp; RIGHT($A397,4)) + TIMEVALUE($B397), "")</f>
        <v/>
      </c>
      <c r="P397" s="34" t="str">
        <f>IF(Account!$F397&lt;&gt;"", DATEVALUE(MID($C397,4,3) &amp; LEFT($C397,3) &amp; RIGHT($C397,4)), "")</f>
        <v/>
      </c>
      <c r="Q397" s="35" t="str">
        <f t="array" ref="Q397">IF($R397&lt;&gt;"",IFERROR(INDEX(ISIN!$B:$B,MATCH($R397,ISIN!$C:$C,0))),)</f>
        <v/>
      </c>
      <c r="R397" s="36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5" t="str">
        <f t="shared" si="1"/>
        <v/>
      </c>
      <c r="T397" s="37" t="str">
        <f t="shared" si="2"/>
        <v/>
      </c>
      <c r="U397" s="38" t="str">
        <f t="shared" si="3"/>
        <v/>
      </c>
      <c r="V397" s="32" t="str">
        <f t="shared" si="4"/>
        <v/>
      </c>
      <c r="W397" s="39" t="str">
        <f>IFERROR(__xludf.DUMMYFUNCTION(" IF(Account!$F397&lt;&gt;"""", SPLIT(Account!$F397, "" ""), """")"),"")</f>
        <v/>
      </c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</row>
    <row r="398">
      <c r="A398" s="12"/>
      <c r="B398" s="12"/>
      <c r="C398" s="12"/>
      <c r="D398" s="12"/>
      <c r="E398" s="12"/>
      <c r="F398" s="13"/>
      <c r="G398" s="12"/>
      <c r="H398" s="12"/>
      <c r="I398" s="12"/>
      <c r="J398" s="12"/>
      <c r="K398" s="12"/>
      <c r="L398" s="13"/>
      <c r="M398" s="30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2" t="str">
        <f>IFERROR(__xludf.DUMMYFUNCTION("IF(Account!$F398&lt;&gt;"""", VALUE(REGEXREPLACE($I398, ""\,"", ""."")), """")"),"")</f>
        <v/>
      </c>
      <c r="O398" s="33" t="str">
        <f>IF(Account!$F398&lt;&gt;"", DATEVALUE(MID($A398,4,3) &amp; LEFT($A398,3) &amp; RIGHT($A398,4)) + TIMEVALUE($B398), "")</f>
        <v/>
      </c>
      <c r="P398" s="34" t="str">
        <f>IF(Account!$F398&lt;&gt;"", DATEVALUE(MID($C398,4,3) &amp; LEFT($C398,3) &amp; RIGHT($C398,4)), "")</f>
        <v/>
      </c>
      <c r="Q398" s="35" t="str">
        <f t="array" ref="Q398">IF($R398&lt;&gt;"",IFERROR(INDEX(ISIN!$B:$B,MATCH($R398,ISIN!$C:$C,0))),)</f>
        <v/>
      </c>
      <c r="R398" s="36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5" t="str">
        <f t="shared" si="1"/>
        <v/>
      </c>
      <c r="T398" s="37" t="str">
        <f t="shared" si="2"/>
        <v/>
      </c>
      <c r="U398" s="38" t="str">
        <f t="shared" si="3"/>
        <v/>
      </c>
      <c r="V398" s="32" t="str">
        <f t="shared" si="4"/>
        <v/>
      </c>
      <c r="W398" s="39" t="str">
        <f>IFERROR(__xludf.DUMMYFUNCTION(" IF(Account!$F398&lt;&gt;"""", SPLIT(Account!$F398, "" ""), """")"),"")</f>
        <v/>
      </c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</row>
    <row r="399">
      <c r="A399" s="12"/>
      <c r="B399" s="12"/>
      <c r="C399" s="12"/>
      <c r="D399" s="12"/>
      <c r="E399" s="12"/>
      <c r="F399" s="13"/>
      <c r="G399" s="291"/>
      <c r="H399" s="12"/>
      <c r="I399" s="12"/>
      <c r="J399" s="12"/>
      <c r="K399" s="12"/>
      <c r="L399" s="13"/>
      <c r="M399" s="30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2" t="str">
        <f>IFERROR(__xludf.DUMMYFUNCTION("IF(Account!$F399&lt;&gt;"""", VALUE(REGEXREPLACE($I399, ""\,"", ""."")), """")"),"")</f>
        <v/>
      </c>
      <c r="O399" s="33" t="str">
        <f>IF(Account!$F399&lt;&gt;"", DATEVALUE(MID($A399,4,3) &amp; LEFT($A399,3) &amp; RIGHT($A399,4)) + TIMEVALUE($B399), "")</f>
        <v/>
      </c>
      <c r="P399" s="34" t="str">
        <f>IF(Account!$F399&lt;&gt;"", DATEVALUE(MID($C399,4,3) &amp; LEFT($C399,3) &amp; RIGHT($C399,4)), "")</f>
        <v/>
      </c>
      <c r="Q399" s="35" t="str">
        <f t="array" ref="Q399">IF($R399&lt;&gt;"",IFERROR(INDEX(ISIN!$B:$B,MATCH($R399,ISIN!$C:$C,0))),)</f>
        <v/>
      </c>
      <c r="R399" s="36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5" t="str">
        <f t="shared" si="1"/>
        <v/>
      </c>
      <c r="T399" s="37" t="str">
        <f t="shared" si="2"/>
        <v/>
      </c>
      <c r="U399" s="38" t="str">
        <f t="shared" si="3"/>
        <v/>
      </c>
      <c r="V399" s="32" t="str">
        <f t="shared" si="4"/>
        <v/>
      </c>
      <c r="W399" s="39" t="str">
        <f>IFERROR(__xludf.DUMMYFUNCTION(" IF(Account!$F399&lt;&gt;"""", SPLIT(Account!$F399, "" ""), """")"),"")</f>
        <v/>
      </c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</row>
    <row r="400">
      <c r="A400" s="12"/>
      <c r="B400" s="12"/>
      <c r="C400" s="12"/>
      <c r="D400" s="12"/>
      <c r="E400" s="12"/>
      <c r="F400" s="13"/>
      <c r="G400" s="12"/>
      <c r="H400" s="12"/>
      <c r="I400" s="12"/>
      <c r="J400" s="12"/>
      <c r="K400" s="12"/>
      <c r="L400" s="13"/>
      <c r="M400" s="30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2" t="str">
        <f>IFERROR(__xludf.DUMMYFUNCTION("IF(Account!$F400&lt;&gt;"""", VALUE(REGEXREPLACE($I400, ""\,"", ""."")), """")"),"")</f>
        <v/>
      </c>
      <c r="O400" s="33" t="str">
        <f>IF(Account!$F400&lt;&gt;"", DATEVALUE(MID($A400,4,3) &amp; LEFT($A400,3) &amp; RIGHT($A400,4)) + TIMEVALUE($B400), "")</f>
        <v/>
      </c>
      <c r="P400" s="34" t="str">
        <f>IF(Account!$F400&lt;&gt;"", DATEVALUE(MID($C400,4,3) &amp; LEFT($C400,3) &amp; RIGHT($C400,4)), "")</f>
        <v/>
      </c>
      <c r="Q400" s="35" t="str">
        <f t="array" ref="Q400">IF($R400&lt;&gt;"",IFERROR(INDEX(ISIN!$B:$B,MATCH($R400,ISIN!$C:$C,0))),)</f>
        <v/>
      </c>
      <c r="R400" s="36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5" t="str">
        <f t="shared" si="1"/>
        <v/>
      </c>
      <c r="T400" s="37" t="str">
        <f t="shared" si="2"/>
        <v/>
      </c>
      <c r="U400" s="38" t="str">
        <f t="shared" si="3"/>
        <v/>
      </c>
      <c r="V400" s="32" t="str">
        <f t="shared" si="4"/>
        <v/>
      </c>
      <c r="W400" s="39" t="str">
        <f>IFERROR(__xludf.DUMMYFUNCTION(" IF(Account!$F400&lt;&gt;"""", SPLIT(Account!$F400, "" ""), """")"),"")</f>
        <v/>
      </c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</row>
    <row r="401">
      <c r="A401" s="12"/>
      <c r="B401" s="12"/>
      <c r="C401" s="12"/>
      <c r="D401" s="12"/>
      <c r="E401" s="12"/>
      <c r="F401" s="13"/>
      <c r="G401" s="291"/>
      <c r="H401" s="12"/>
      <c r="I401" s="12"/>
      <c r="J401" s="12"/>
      <c r="K401" s="12"/>
      <c r="L401" s="13"/>
      <c r="M401" s="30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2" t="str">
        <f>IFERROR(__xludf.DUMMYFUNCTION("IF(Account!$F401&lt;&gt;"""", VALUE(REGEXREPLACE($I401, ""\,"", ""."")), """")"),"")</f>
        <v/>
      </c>
      <c r="O401" s="33" t="str">
        <f>IF(Account!$F401&lt;&gt;"", DATEVALUE(MID($A401,4,3) &amp; LEFT($A401,3) &amp; RIGHT($A401,4)) + TIMEVALUE($B401), "")</f>
        <v/>
      </c>
      <c r="P401" s="34" t="str">
        <f>IF(Account!$F401&lt;&gt;"", DATEVALUE(MID($C401,4,3) &amp; LEFT($C401,3) &amp; RIGHT($C401,4)), "")</f>
        <v/>
      </c>
      <c r="Q401" s="35" t="str">
        <f t="array" ref="Q401">IF($R401&lt;&gt;"",IFERROR(INDEX(ISIN!$B:$B,MATCH($R401,ISIN!$C:$C,0))),)</f>
        <v/>
      </c>
      <c r="R401" s="36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5" t="str">
        <f t="shared" si="1"/>
        <v/>
      </c>
      <c r="T401" s="37" t="str">
        <f t="shared" si="2"/>
        <v/>
      </c>
      <c r="U401" s="38" t="str">
        <f t="shared" si="3"/>
        <v/>
      </c>
      <c r="V401" s="32" t="str">
        <f t="shared" si="4"/>
        <v/>
      </c>
      <c r="W401" s="39" t="str">
        <f>IFERROR(__xludf.DUMMYFUNCTION(" IF(Account!$F401&lt;&gt;"""", SPLIT(Account!$F401, "" ""), """")"),"")</f>
        <v/>
      </c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</row>
    <row r="402">
      <c r="A402" s="12"/>
      <c r="B402" s="12"/>
      <c r="C402" s="12"/>
      <c r="D402" s="12"/>
      <c r="E402" s="12"/>
      <c r="F402" s="13"/>
      <c r="G402" s="12"/>
      <c r="H402" s="12"/>
      <c r="I402" s="12"/>
      <c r="J402" s="12"/>
      <c r="K402" s="12"/>
      <c r="L402" s="13"/>
      <c r="M402" s="30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2" t="str">
        <f>IFERROR(__xludf.DUMMYFUNCTION("IF(Account!$F402&lt;&gt;"""", VALUE(REGEXREPLACE($I402, ""\,"", ""."")), """")"),"")</f>
        <v/>
      </c>
      <c r="O402" s="33" t="str">
        <f>IF(Account!$F402&lt;&gt;"", DATEVALUE(MID($A402,4,3) &amp; LEFT($A402,3) &amp; RIGHT($A402,4)) + TIMEVALUE($B402), "")</f>
        <v/>
      </c>
      <c r="P402" s="34" t="str">
        <f>IF(Account!$F402&lt;&gt;"", DATEVALUE(MID($C402,4,3) &amp; LEFT($C402,3) &amp; RIGHT($C402,4)), "")</f>
        <v/>
      </c>
      <c r="Q402" s="35" t="str">
        <f t="array" ref="Q402">IF($R402&lt;&gt;"",IFERROR(INDEX(ISIN!$B:$B,MATCH($R402,ISIN!$C:$C,0))),)</f>
        <v/>
      </c>
      <c r="R402" s="36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5" t="str">
        <f t="shared" si="1"/>
        <v/>
      </c>
      <c r="T402" s="37" t="str">
        <f t="shared" si="2"/>
        <v/>
      </c>
      <c r="U402" s="38" t="str">
        <f t="shared" si="3"/>
        <v/>
      </c>
      <c r="V402" s="32" t="str">
        <f t="shared" si="4"/>
        <v/>
      </c>
      <c r="W402" s="39" t="str">
        <f>IFERROR(__xludf.DUMMYFUNCTION(" IF(Account!$F402&lt;&gt;"""", SPLIT(Account!$F402, "" ""), """")"),"")</f>
        <v/>
      </c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</row>
    <row r="403">
      <c r="A403" s="12"/>
      <c r="B403" s="12"/>
      <c r="C403" s="12"/>
      <c r="D403" s="12"/>
      <c r="E403" s="12"/>
      <c r="F403" s="13"/>
      <c r="G403" s="12"/>
      <c r="H403" s="12"/>
      <c r="I403" s="12"/>
      <c r="J403" s="12"/>
      <c r="K403" s="12"/>
      <c r="L403" s="13"/>
      <c r="M403" s="30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2" t="str">
        <f>IFERROR(__xludf.DUMMYFUNCTION("IF(Account!$F403&lt;&gt;"""", VALUE(REGEXREPLACE($I403, ""\,"", ""."")), """")"),"")</f>
        <v/>
      </c>
      <c r="O403" s="33" t="str">
        <f>IF(Account!$F403&lt;&gt;"", DATEVALUE(MID($A403,4,3) &amp; LEFT($A403,3) &amp; RIGHT($A403,4)) + TIMEVALUE($B403), "")</f>
        <v/>
      </c>
      <c r="P403" s="34" t="str">
        <f>IF(Account!$F403&lt;&gt;"", DATEVALUE(MID($C403,4,3) &amp; LEFT($C403,3) &amp; RIGHT($C403,4)), "")</f>
        <v/>
      </c>
      <c r="Q403" s="35" t="str">
        <f t="array" ref="Q403">IF($R403&lt;&gt;"",IFERROR(INDEX(ISIN!$B:$B,MATCH($R403,ISIN!$C:$C,0))),)</f>
        <v/>
      </c>
      <c r="R403" s="36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5" t="str">
        <f t="shared" si="1"/>
        <v/>
      </c>
      <c r="T403" s="37" t="str">
        <f t="shared" si="2"/>
        <v/>
      </c>
      <c r="U403" s="38" t="str">
        <f t="shared" si="3"/>
        <v/>
      </c>
      <c r="V403" s="32" t="str">
        <f t="shared" si="4"/>
        <v/>
      </c>
      <c r="W403" s="39" t="str">
        <f>IFERROR(__xludf.DUMMYFUNCTION(" IF(Account!$F403&lt;&gt;"""", SPLIT(Account!$F403, "" ""), """")"),"")</f>
        <v/>
      </c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</row>
    <row r="404">
      <c r="A404" s="12"/>
      <c r="B404" s="12"/>
      <c r="C404" s="12"/>
      <c r="D404" s="12"/>
      <c r="E404" s="12"/>
      <c r="F404" s="13"/>
      <c r="G404" s="12"/>
      <c r="H404" s="12"/>
      <c r="I404" s="12"/>
      <c r="J404" s="12"/>
      <c r="K404" s="12"/>
      <c r="L404" s="13"/>
      <c r="M404" s="30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2" t="str">
        <f>IFERROR(__xludf.DUMMYFUNCTION("IF(Account!$F404&lt;&gt;"""", VALUE(REGEXREPLACE($I404, ""\,"", ""."")), """")"),"")</f>
        <v/>
      </c>
      <c r="O404" s="33" t="str">
        <f>IF(Account!$F404&lt;&gt;"", DATEVALUE(MID($A404,4,3) &amp; LEFT($A404,3) &amp; RIGHT($A404,4)) + TIMEVALUE($B404), "")</f>
        <v/>
      </c>
      <c r="P404" s="34" t="str">
        <f>IF(Account!$F404&lt;&gt;"", DATEVALUE(MID($C404,4,3) &amp; LEFT($C404,3) &amp; RIGHT($C404,4)), "")</f>
        <v/>
      </c>
      <c r="Q404" s="35" t="str">
        <f t="array" ref="Q404">IF($R404&lt;&gt;"",IFERROR(INDEX(ISIN!$B:$B,MATCH($R404,ISIN!$C:$C,0))),)</f>
        <v/>
      </c>
      <c r="R404" s="36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5" t="str">
        <f t="shared" si="1"/>
        <v/>
      </c>
      <c r="T404" s="37" t="str">
        <f t="shared" si="2"/>
        <v/>
      </c>
      <c r="U404" s="38" t="str">
        <f t="shared" si="3"/>
        <v/>
      </c>
      <c r="V404" s="32" t="str">
        <f t="shared" si="4"/>
        <v/>
      </c>
      <c r="W404" s="39" t="str">
        <f>IFERROR(__xludf.DUMMYFUNCTION(" IF(Account!$F404&lt;&gt;"""", SPLIT(Account!$F404, "" ""), """")"),"")</f>
        <v/>
      </c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</row>
    <row r="405">
      <c r="A405" s="12"/>
      <c r="B405" s="12"/>
      <c r="C405" s="12"/>
      <c r="D405" s="12"/>
      <c r="E405" s="12"/>
      <c r="F405" s="13"/>
      <c r="G405" s="291"/>
      <c r="H405" s="12"/>
      <c r="I405" s="12"/>
      <c r="J405" s="12"/>
      <c r="K405" s="12"/>
      <c r="L405" s="13"/>
      <c r="M405" s="30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2" t="str">
        <f>IFERROR(__xludf.DUMMYFUNCTION("IF(Account!$F405&lt;&gt;"""", VALUE(REGEXREPLACE($I405, ""\,"", ""."")), """")"),"")</f>
        <v/>
      </c>
      <c r="O405" s="33" t="str">
        <f>IF(Account!$F405&lt;&gt;"", DATEVALUE(MID($A405,4,3) &amp; LEFT($A405,3) &amp; RIGHT($A405,4)) + TIMEVALUE($B405), "")</f>
        <v/>
      </c>
      <c r="P405" s="34" t="str">
        <f>IF(Account!$F405&lt;&gt;"", DATEVALUE(MID($C405,4,3) &amp; LEFT($C405,3) &amp; RIGHT($C405,4)), "")</f>
        <v/>
      </c>
      <c r="Q405" s="35" t="str">
        <f t="array" ref="Q405">IF($R405&lt;&gt;"",IFERROR(INDEX(ISIN!$B:$B,MATCH($R405,ISIN!$C:$C,0))),)</f>
        <v/>
      </c>
      <c r="R405" s="36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5" t="str">
        <f t="shared" si="1"/>
        <v/>
      </c>
      <c r="T405" s="37" t="str">
        <f t="shared" si="2"/>
        <v/>
      </c>
      <c r="U405" s="38" t="str">
        <f t="shared" si="3"/>
        <v/>
      </c>
      <c r="V405" s="32" t="str">
        <f t="shared" si="4"/>
        <v/>
      </c>
      <c r="W405" s="39" t="str">
        <f>IFERROR(__xludf.DUMMYFUNCTION(" IF(Account!$F405&lt;&gt;"""", SPLIT(Account!$F405, "" ""), """")"),"")</f>
        <v/>
      </c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</row>
    <row r="406">
      <c r="A406" s="12"/>
      <c r="B406" s="12"/>
      <c r="C406" s="12"/>
      <c r="D406" s="12"/>
      <c r="E406" s="12"/>
      <c r="F406" s="13"/>
      <c r="G406" s="12"/>
      <c r="H406" s="12"/>
      <c r="I406" s="12"/>
      <c r="J406" s="12"/>
      <c r="K406" s="12"/>
      <c r="L406" s="13"/>
      <c r="M406" s="30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2" t="str">
        <f>IFERROR(__xludf.DUMMYFUNCTION("IF(Account!$F406&lt;&gt;"""", VALUE(REGEXREPLACE($I406, ""\,"", ""."")), """")"),"")</f>
        <v/>
      </c>
      <c r="O406" s="33" t="str">
        <f>IF(Account!$F406&lt;&gt;"", DATEVALUE(MID($A406,4,3) &amp; LEFT($A406,3) &amp; RIGHT($A406,4)) + TIMEVALUE($B406), "")</f>
        <v/>
      </c>
      <c r="P406" s="34" t="str">
        <f>IF(Account!$F406&lt;&gt;"", DATEVALUE(MID($C406,4,3) &amp; LEFT($C406,3) &amp; RIGHT($C406,4)), "")</f>
        <v/>
      </c>
      <c r="Q406" s="35" t="str">
        <f t="array" ref="Q406">IF($R406&lt;&gt;"",IFERROR(INDEX(ISIN!$B:$B,MATCH($R406,ISIN!$C:$C,0))),)</f>
        <v/>
      </c>
      <c r="R406" s="36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5" t="str">
        <f t="shared" si="1"/>
        <v/>
      </c>
      <c r="T406" s="37" t="str">
        <f t="shared" si="2"/>
        <v/>
      </c>
      <c r="U406" s="38" t="str">
        <f t="shared" si="3"/>
        <v/>
      </c>
      <c r="V406" s="32" t="str">
        <f t="shared" si="4"/>
        <v/>
      </c>
      <c r="W406" s="39" t="str">
        <f>IFERROR(__xludf.DUMMYFUNCTION(" IF(Account!$F406&lt;&gt;"""", SPLIT(Account!$F406, "" ""), """")"),"")</f>
        <v/>
      </c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</row>
    <row r="407">
      <c r="A407" s="12"/>
      <c r="B407" s="12"/>
      <c r="C407" s="12"/>
      <c r="D407" s="12"/>
      <c r="E407" s="12"/>
      <c r="F407" s="13"/>
      <c r="G407" s="291"/>
      <c r="H407" s="12"/>
      <c r="I407" s="12"/>
      <c r="J407" s="12"/>
      <c r="K407" s="12"/>
      <c r="L407" s="13"/>
      <c r="M407" s="30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2" t="str">
        <f>IFERROR(__xludf.DUMMYFUNCTION("IF(Account!$F407&lt;&gt;"""", VALUE(REGEXREPLACE($I407, ""\,"", ""."")), """")"),"")</f>
        <v/>
      </c>
      <c r="O407" s="33" t="str">
        <f>IF(Account!$F407&lt;&gt;"", DATEVALUE(MID($A407,4,3) &amp; LEFT($A407,3) &amp; RIGHT($A407,4)) + TIMEVALUE($B407), "")</f>
        <v/>
      </c>
      <c r="P407" s="34" t="str">
        <f>IF(Account!$F407&lt;&gt;"", DATEVALUE(MID($C407,4,3) &amp; LEFT($C407,3) &amp; RIGHT($C407,4)), "")</f>
        <v/>
      </c>
      <c r="Q407" s="35" t="str">
        <f t="array" ref="Q407">IF($R407&lt;&gt;"",IFERROR(INDEX(ISIN!$B:$B,MATCH($R407,ISIN!$C:$C,0))),)</f>
        <v/>
      </c>
      <c r="R407" s="36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5" t="str">
        <f t="shared" si="1"/>
        <v/>
      </c>
      <c r="T407" s="37" t="str">
        <f t="shared" si="2"/>
        <v/>
      </c>
      <c r="U407" s="38" t="str">
        <f t="shared" si="3"/>
        <v/>
      </c>
      <c r="V407" s="32" t="str">
        <f t="shared" si="4"/>
        <v/>
      </c>
      <c r="W407" s="39" t="str">
        <f>IFERROR(__xludf.DUMMYFUNCTION(" IF(Account!$F407&lt;&gt;"""", SPLIT(Account!$F407, "" ""), """")"),"")</f>
        <v/>
      </c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</row>
    <row r="408">
      <c r="A408" s="12"/>
      <c r="B408" s="12"/>
      <c r="C408" s="12"/>
      <c r="D408" s="12"/>
      <c r="E408" s="12"/>
      <c r="F408" s="13"/>
      <c r="G408" s="12"/>
      <c r="H408" s="12"/>
      <c r="I408" s="12"/>
      <c r="J408" s="12"/>
      <c r="K408" s="12"/>
      <c r="L408" s="13"/>
      <c r="M408" s="30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2" t="str">
        <f>IFERROR(__xludf.DUMMYFUNCTION("IF(Account!$F408&lt;&gt;"""", VALUE(REGEXREPLACE($I408, ""\,"", ""."")), """")"),"")</f>
        <v/>
      </c>
      <c r="O408" s="33" t="str">
        <f>IF(Account!$F408&lt;&gt;"", DATEVALUE(MID($A408,4,3) &amp; LEFT($A408,3) &amp; RIGHT($A408,4)) + TIMEVALUE($B408), "")</f>
        <v/>
      </c>
      <c r="P408" s="34" t="str">
        <f>IF(Account!$F408&lt;&gt;"", DATEVALUE(MID($C408,4,3) &amp; LEFT($C408,3) &amp; RIGHT($C408,4)), "")</f>
        <v/>
      </c>
      <c r="Q408" s="35" t="str">
        <f t="array" ref="Q408">IF($R408&lt;&gt;"",IFERROR(INDEX(ISIN!$B:$B,MATCH($R408,ISIN!$C:$C,0))),)</f>
        <v/>
      </c>
      <c r="R408" s="36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5" t="str">
        <f t="shared" si="1"/>
        <v/>
      </c>
      <c r="T408" s="37" t="str">
        <f t="shared" si="2"/>
        <v/>
      </c>
      <c r="U408" s="38" t="str">
        <f t="shared" si="3"/>
        <v/>
      </c>
      <c r="V408" s="32" t="str">
        <f t="shared" si="4"/>
        <v/>
      </c>
      <c r="W408" s="39" t="str">
        <f>IFERROR(__xludf.DUMMYFUNCTION(" IF(Account!$F408&lt;&gt;"""", SPLIT(Account!$F408, "" ""), """")"),"")</f>
        <v/>
      </c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</row>
    <row r="409">
      <c r="A409" s="12"/>
      <c r="B409" s="12"/>
      <c r="C409" s="12"/>
      <c r="D409" s="12"/>
      <c r="E409" s="12"/>
      <c r="F409" s="13"/>
      <c r="G409" s="291"/>
      <c r="H409" s="12"/>
      <c r="I409" s="12"/>
      <c r="J409" s="12"/>
      <c r="K409" s="12"/>
      <c r="L409" s="13"/>
      <c r="M409" s="30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2" t="str">
        <f>IFERROR(__xludf.DUMMYFUNCTION("IF(Account!$F409&lt;&gt;"""", VALUE(REGEXREPLACE($I409, ""\,"", ""."")), """")"),"")</f>
        <v/>
      </c>
      <c r="O409" s="33" t="str">
        <f>IF(Account!$F409&lt;&gt;"", DATEVALUE(MID($A409,4,3) &amp; LEFT($A409,3) &amp; RIGHT($A409,4)) + TIMEVALUE($B409), "")</f>
        <v/>
      </c>
      <c r="P409" s="34" t="str">
        <f>IF(Account!$F409&lt;&gt;"", DATEVALUE(MID($C409,4,3) &amp; LEFT($C409,3) &amp; RIGHT($C409,4)), "")</f>
        <v/>
      </c>
      <c r="Q409" s="35" t="str">
        <f t="array" ref="Q409">IF($R409&lt;&gt;"",IFERROR(INDEX(ISIN!$B:$B,MATCH($R409,ISIN!$C:$C,0))),)</f>
        <v/>
      </c>
      <c r="R409" s="36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5" t="str">
        <f t="shared" si="1"/>
        <v/>
      </c>
      <c r="T409" s="37" t="str">
        <f t="shared" si="2"/>
        <v/>
      </c>
      <c r="U409" s="38" t="str">
        <f t="shared" si="3"/>
        <v/>
      </c>
      <c r="V409" s="32" t="str">
        <f t="shared" si="4"/>
        <v/>
      </c>
      <c r="W409" s="39" t="str">
        <f>IFERROR(__xludf.DUMMYFUNCTION(" IF(Account!$F409&lt;&gt;"""", SPLIT(Account!$F409, "" ""), """")"),"")</f>
        <v/>
      </c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</row>
    <row r="410">
      <c r="A410" s="12"/>
      <c r="B410" s="12"/>
      <c r="C410" s="12"/>
      <c r="D410" s="12"/>
      <c r="E410" s="12"/>
      <c r="F410" s="13"/>
      <c r="G410" s="12"/>
      <c r="H410" s="12"/>
      <c r="I410" s="12"/>
      <c r="J410" s="12"/>
      <c r="K410" s="12"/>
      <c r="L410" s="13"/>
      <c r="M410" s="30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2" t="str">
        <f>IFERROR(__xludf.DUMMYFUNCTION("IF(Account!$F410&lt;&gt;"""", VALUE(REGEXREPLACE($I410, ""\,"", ""."")), """")"),"")</f>
        <v/>
      </c>
      <c r="O410" s="33" t="str">
        <f>IF(Account!$F410&lt;&gt;"", DATEVALUE(MID($A410,4,3) &amp; LEFT($A410,3) &amp; RIGHT($A410,4)) + TIMEVALUE($B410), "")</f>
        <v/>
      </c>
      <c r="P410" s="34" t="str">
        <f>IF(Account!$F410&lt;&gt;"", DATEVALUE(MID($C410,4,3) &amp; LEFT($C410,3) &amp; RIGHT($C410,4)), "")</f>
        <v/>
      </c>
      <c r="Q410" s="35" t="str">
        <f t="array" ref="Q410">IF($R410&lt;&gt;"",IFERROR(INDEX(ISIN!$B:$B,MATCH($R410,ISIN!$C:$C,0))),)</f>
        <v/>
      </c>
      <c r="R410" s="36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5" t="str">
        <f t="shared" si="1"/>
        <v/>
      </c>
      <c r="T410" s="37" t="str">
        <f t="shared" si="2"/>
        <v/>
      </c>
      <c r="U410" s="38" t="str">
        <f t="shared" si="3"/>
        <v/>
      </c>
      <c r="V410" s="32" t="str">
        <f t="shared" si="4"/>
        <v/>
      </c>
      <c r="W410" s="39" t="str">
        <f>IFERROR(__xludf.DUMMYFUNCTION(" IF(Account!$F410&lt;&gt;"""", SPLIT(Account!$F410, "" ""), """")"),"")</f>
        <v/>
      </c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</row>
    <row r="411">
      <c r="A411" s="12"/>
      <c r="B411" s="12"/>
      <c r="C411" s="12"/>
      <c r="D411" s="12"/>
      <c r="E411" s="12"/>
      <c r="F411" s="13"/>
      <c r="G411" s="291"/>
      <c r="H411" s="12"/>
      <c r="I411" s="12"/>
      <c r="J411" s="12"/>
      <c r="K411" s="12"/>
      <c r="L411" s="13"/>
      <c r="M411" s="30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2" t="str">
        <f>IFERROR(__xludf.DUMMYFUNCTION("IF(Account!$F411&lt;&gt;"""", VALUE(REGEXREPLACE($I411, ""\,"", ""."")), """")"),"")</f>
        <v/>
      </c>
      <c r="O411" s="33" t="str">
        <f>IF(Account!$F411&lt;&gt;"", DATEVALUE(MID($A411,4,3) &amp; LEFT($A411,3) &amp; RIGHT($A411,4)) + TIMEVALUE($B411), "")</f>
        <v/>
      </c>
      <c r="P411" s="34" t="str">
        <f>IF(Account!$F411&lt;&gt;"", DATEVALUE(MID($C411,4,3) &amp; LEFT($C411,3) &amp; RIGHT($C411,4)), "")</f>
        <v/>
      </c>
      <c r="Q411" s="35" t="str">
        <f t="array" ref="Q411">IF($R411&lt;&gt;"",IFERROR(INDEX(ISIN!$B:$B,MATCH($R411,ISIN!$C:$C,0))),)</f>
        <v/>
      </c>
      <c r="R411" s="36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5" t="str">
        <f t="shared" si="1"/>
        <v/>
      </c>
      <c r="T411" s="37" t="str">
        <f t="shared" si="2"/>
        <v/>
      </c>
      <c r="U411" s="38" t="str">
        <f t="shared" si="3"/>
        <v/>
      </c>
      <c r="V411" s="32" t="str">
        <f t="shared" si="4"/>
        <v/>
      </c>
      <c r="W411" s="39" t="str">
        <f>IFERROR(__xludf.DUMMYFUNCTION(" IF(Account!$F411&lt;&gt;"""", SPLIT(Account!$F411, "" ""), """")"),"")</f>
        <v/>
      </c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</row>
    <row r="412">
      <c r="A412" s="12"/>
      <c r="B412" s="12"/>
      <c r="C412" s="12"/>
      <c r="D412" s="12"/>
      <c r="E412" s="12"/>
      <c r="F412" s="13"/>
      <c r="G412" s="291"/>
      <c r="H412" s="12"/>
      <c r="I412" s="12"/>
      <c r="J412" s="12"/>
      <c r="K412" s="12"/>
      <c r="L412" s="13"/>
      <c r="M412" s="30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2" t="str">
        <f>IFERROR(__xludf.DUMMYFUNCTION("IF(Account!$F412&lt;&gt;"""", VALUE(REGEXREPLACE($I412, ""\,"", ""."")), """")"),"")</f>
        <v/>
      </c>
      <c r="O412" s="33" t="str">
        <f>IF(Account!$F412&lt;&gt;"", DATEVALUE(MID($A412,4,3) &amp; LEFT($A412,3) &amp; RIGHT($A412,4)) + TIMEVALUE($B412), "")</f>
        <v/>
      </c>
      <c r="P412" s="34" t="str">
        <f>IF(Account!$F412&lt;&gt;"", DATEVALUE(MID($C412,4,3) &amp; LEFT($C412,3) &amp; RIGHT($C412,4)), "")</f>
        <v/>
      </c>
      <c r="Q412" s="35" t="str">
        <f t="array" ref="Q412">IF($R412&lt;&gt;"",IFERROR(INDEX(ISIN!$B:$B,MATCH($R412,ISIN!$C:$C,0))),)</f>
        <v/>
      </c>
      <c r="R412" s="36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5" t="str">
        <f t="shared" si="1"/>
        <v/>
      </c>
      <c r="T412" s="37" t="str">
        <f t="shared" si="2"/>
        <v/>
      </c>
      <c r="U412" s="38" t="str">
        <f t="shared" si="3"/>
        <v/>
      </c>
      <c r="V412" s="32" t="str">
        <f t="shared" si="4"/>
        <v/>
      </c>
      <c r="W412" s="39" t="str">
        <f>IFERROR(__xludf.DUMMYFUNCTION(" IF(Account!$F412&lt;&gt;"""", SPLIT(Account!$F412, "" ""), """")"),"")</f>
        <v/>
      </c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</row>
    <row r="413">
      <c r="A413" s="12"/>
      <c r="B413" s="12"/>
      <c r="C413" s="12"/>
      <c r="D413" s="12"/>
      <c r="E413" s="12"/>
      <c r="F413" s="13"/>
      <c r="G413" s="291"/>
      <c r="H413" s="12"/>
      <c r="I413" s="12"/>
      <c r="J413" s="12"/>
      <c r="K413" s="12"/>
      <c r="L413" s="13"/>
      <c r="M413" s="30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2" t="str">
        <f>IFERROR(__xludf.DUMMYFUNCTION("IF(Account!$F413&lt;&gt;"""", VALUE(REGEXREPLACE($I413, ""\,"", ""."")), """")"),"")</f>
        <v/>
      </c>
      <c r="O413" s="33" t="str">
        <f>IF(Account!$F413&lt;&gt;"", DATEVALUE(MID($A413,4,3) &amp; LEFT($A413,3) &amp; RIGHT($A413,4)) + TIMEVALUE($B413), "")</f>
        <v/>
      </c>
      <c r="P413" s="34" t="str">
        <f>IF(Account!$F413&lt;&gt;"", DATEVALUE(MID($C413,4,3) &amp; LEFT($C413,3) &amp; RIGHT($C413,4)), "")</f>
        <v/>
      </c>
      <c r="Q413" s="35" t="str">
        <f t="array" ref="Q413">IF($R413&lt;&gt;"",IFERROR(INDEX(ISIN!$B:$B,MATCH($R413,ISIN!$C:$C,0))),)</f>
        <v/>
      </c>
      <c r="R413" s="36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5" t="str">
        <f t="shared" si="1"/>
        <v/>
      </c>
      <c r="T413" s="37" t="str">
        <f t="shared" si="2"/>
        <v/>
      </c>
      <c r="U413" s="38" t="str">
        <f t="shared" si="3"/>
        <v/>
      </c>
      <c r="V413" s="32" t="str">
        <f t="shared" si="4"/>
        <v/>
      </c>
      <c r="W413" s="39" t="str">
        <f>IFERROR(__xludf.DUMMYFUNCTION(" IF(Account!$F413&lt;&gt;"""", SPLIT(Account!$F413, "" ""), """")"),"")</f>
        <v/>
      </c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</row>
    <row r="414">
      <c r="A414" s="12"/>
      <c r="B414" s="12"/>
      <c r="C414" s="12"/>
      <c r="D414" s="12"/>
      <c r="E414" s="12"/>
      <c r="F414" s="13"/>
      <c r="G414" s="291"/>
      <c r="H414" s="12"/>
      <c r="I414" s="12"/>
      <c r="J414" s="12"/>
      <c r="K414" s="12"/>
      <c r="L414" s="13"/>
      <c r="M414" s="30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2" t="str">
        <f>IFERROR(__xludf.DUMMYFUNCTION("IF(Account!$F414&lt;&gt;"""", VALUE(REGEXREPLACE($I414, ""\,"", ""."")), """")"),"")</f>
        <v/>
      </c>
      <c r="O414" s="33" t="str">
        <f>IF(Account!$F414&lt;&gt;"", DATEVALUE(MID($A414,4,3) &amp; LEFT($A414,3) &amp; RIGHT($A414,4)) + TIMEVALUE($B414), "")</f>
        <v/>
      </c>
      <c r="P414" s="34" t="str">
        <f>IF(Account!$F414&lt;&gt;"", DATEVALUE(MID($C414,4,3) &amp; LEFT($C414,3) &amp; RIGHT($C414,4)), "")</f>
        <v/>
      </c>
      <c r="Q414" s="35" t="str">
        <f t="array" ref="Q414">IF($R414&lt;&gt;"",IFERROR(INDEX(ISIN!$B:$B,MATCH($R414,ISIN!$C:$C,0))),)</f>
        <v/>
      </c>
      <c r="R414" s="36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5" t="str">
        <f t="shared" si="1"/>
        <v/>
      </c>
      <c r="T414" s="37" t="str">
        <f t="shared" si="2"/>
        <v/>
      </c>
      <c r="U414" s="38" t="str">
        <f t="shared" si="3"/>
        <v/>
      </c>
      <c r="V414" s="32" t="str">
        <f t="shared" si="4"/>
        <v/>
      </c>
      <c r="W414" s="39" t="str">
        <f>IFERROR(__xludf.DUMMYFUNCTION(" IF(Account!$F414&lt;&gt;"""", SPLIT(Account!$F414, "" ""), """")"),"")</f>
        <v/>
      </c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</row>
    <row r="415">
      <c r="A415" s="12"/>
      <c r="B415" s="12"/>
      <c r="C415" s="12"/>
      <c r="D415" s="12"/>
      <c r="E415" s="12"/>
      <c r="F415" s="13"/>
      <c r="G415" s="12"/>
      <c r="H415" s="12"/>
      <c r="I415" s="12"/>
      <c r="J415" s="12"/>
      <c r="K415" s="12"/>
      <c r="L415" s="13"/>
      <c r="M415" s="30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2" t="str">
        <f>IFERROR(__xludf.DUMMYFUNCTION("IF(Account!$F415&lt;&gt;"""", VALUE(REGEXREPLACE($I415, ""\,"", ""."")), """")"),"")</f>
        <v/>
      </c>
      <c r="O415" s="33" t="str">
        <f>IF(Account!$F415&lt;&gt;"", DATEVALUE(MID($A415,4,3) &amp; LEFT($A415,3) &amp; RIGHT($A415,4)) + TIMEVALUE($B415), "")</f>
        <v/>
      </c>
      <c r="P415" s="34" t="str">
        <f>IF(Account!$F415&lt;&gt;"", DATEVALUE(MID($C415,4,3) &amp; LEFT($C415,3) &amp; RIGHT($C415,4)), "")</f>
        <v/>
      </c>
      <c r="Q415" s="35" t="str">
        <f t="array" ref="Q415">IF($R415&lt;&gt;"",IFERROR(INDEX(ISIN!$B:$B,MATCH($R415,ISIN!$C:$C,0))),)</f>
        <v/>
      </c>
      <c r="R415" s="36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5" t="str">
        <f t="shared" si="1"/>
        <v/>
      </c>
      <c r="T415" s="37" t="str">
        <f t="shared" si="2"/>
        <v/>
      </c>
      <c r="U415" s="38" t="str">
        <f t="shared" si="3"/>
        <v/>
      </c>
      <c r="V415" s="32" t="str">
        <f t="shared" si="4"/>
        <v/>
      </c>
      <c r="W415" s="39" t="str">
        <f>IFERROR(__xludf.DUMMYFUNCTION(" IF(Account!$F415&lt;&gt;"""", SPLIT(Account!$F415, "" ""), """")"),"")</f>
        <v/>
      </c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</row>
    <row r="416">
      <c r="A416" s="12"/>
      <c r="B416" s="12"/>
      <c r="C416" s="12"/>
      <c r="D416" s="12"/>
      <c r="E416" s="12"/>
      <c r="F416" s="13"/>
      <c r="G416" s="291"/>
      <c r="H416" s="12"/>
      <c r="I416" s="12"/>
      <c r="J416" s="12"/>
      <c r="K416" s="12"/>
      <c r="L416" s="13"/>
      <c r="M416" s="30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2" t="str">
        <f>IFERROR(__xludf.DUMMYFUNCTION("IF(Account!$F416&lt;&gt;"""", VALUE(REGEXREPLACE($I416, ""\,"", ""."")), """")"),"")</f>
        <v/>
      </c>
      <c r="O416" s="33" t="str">
        <f>IF(Account!$F416&lt;&gt;"", DATEVALUE(MID($A416,4,3) &amp; LEFT($A416,3) &amp; RIGHT($A416,4)) + TIMEVALUE($B416), "")</f>
        <v/>
      </c>
      <c r="P416" s="34" t="str">
        <f>IF(Account!$F416&lt;&gt;"", DATEVALUE(MID($C416,4,3) &amp; LEFT($C416,3) &amp; RIGHT($C416,4)), "")</f>
        <v/>
      </c>
      <c r="Q416" s="35" t="str">
        <f t="array" ref="Q416">IF($R416&lt;&gt;"",IFERROR(INDEX(ISIN!$B:$B,MATCH($R416,ISIN!$C:$C,0))),)</f>
        <v/>
      </c>
      <c r="R416" s="36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5" t="str">
        <f t="shared" si="1"/>
        <v/>
      </c>
      <c r="T416" s="37" t="str">
        <f t="shared" si="2"/>
        <v/>
      </c>
      <c r="U416" s="38" t="str">
        <f t="shared" si="3"/>
        <v/>
      </c>
      <c r="V416" s="32" t="str">
        <f t="shared" si="4"/>
        <v/>
      </c>
      <c r="W416" s="39" t="str">
        <f>IFERROR(__xludf.DUMMYFUNCTION(" IF(Account!$F416&lt;&gt;"""", SPLIT(Account!$F416, "" ""), """")"),"")</f>
        <v/>
      </c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</row>
    <row r="417">
      <c r="A417" s="12"/>
      <c r="B417" s="12"/>
      <c r="C417" s="12"/>
      <c r="D417" s="12"/>
      <c r="E417" s="12"/>
      <c r="F417" s="13"/>
      <c r="G417" s="291"/>
      <c r="H417" s="12"/>
      <c r="I417" s="12"/>
      <c r="J417" s="12"/>
      <c r="K417" s="12"/>
      <c r="L417" s="13"/>
      <c r="M417" s="30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2" t="str">
        <f>IFERROR(__xludf.DUMMYFUNCTION("IF(Account!$F417&lt;&gt;"""", VALUE(REGEXREPLACE($I417, ""\,"", ""."")), """")"),"")</f>
        <v/>
      </c>
      <c r="O417" s="33" t="str">
        <f>IF(Account!$F417&lt;&gt;"", DATEVALUE(MID($A417,4,3) &amp; LEFT($A417,3) &amp; RIGHT($A417,4)) + TIMEVALUE($B417), "")</f>
        <v/>
      </c>
      <c r="P417" s="34" t="str">
        <f>IF(Account!$F417&lt;&gt;"", DATEVALUE(MID($C417,4,3) &amp; LEFT($C417,3) &amp; RIGHT($C417,4)), "")</f>
        <v/>
      </c>
      <c r="Q417" s="35" t="str">
        <f t="array" ref="Q417">IF($R417&lt;&gt;"",IFERROR(INDEX(ISIN!$B:$B,MATCH($R417,ISIN!$C:$C,0))),)</f>
        <v/>
      </c>
      <c r="R417" s="36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5" t="str">
        <f t="shared" si="1"/>
        <v/>
      </c>
      <c r="T417" s="37" t="str">
        <f t="shared" si="2"/>
        <v/>
      </c>
      <c r="U417" s="38" t="str">
        <f t="shared" si="3"/>
        <v/>
      </c>
      <c r="V417" s="32" t="str">
        <f t="shared" si="4"/>
        <v/>
      </c>
      <c r="W417" s="39" t="str">
        <f>IFERROR(__xludf.DUMMYFUNCTION(" IF(Account!$F417&lt;&gt;"""", SPLIT(Account!$F417, "" ""), """")"),"")</f>
        <v/>
      </c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</row>
    <row r="418">
      <c r="A418" s="12"/>
      <c r="B418" s="12"/>
      <c r="C418" s="12"/>
      <c r="D418" s="12"/>
      <c r="E418" s="12"/>
      <c r="F418" s="13"/>
      <c r="G418" s="291"/>
      <c r="H418" s="12"/>
      <c r="I418" s="12"/>
      <c r="J418" s="12"/>
      <c r="K418" s="12"/>
      <c r="L418" s="13"/>
      <c r="M418" s="30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2" t="str">
        <f>IFERROR(__xludf.DUMMYFUNCTION("IF(Account!$F418&lt;&gt;"""", VALUE(REGEXREPLACE($I418, ""\,"", ""."")), """")"),"")</f>
        <v/>
      </c>
      <c r="O418" s="33" t="str">
        <f>IF(Account!$F418&lt;&gt;"", DATEVALUE(MID($A418,4,3) &amp; LEFT($A418,3) &amp; RIGHT($A418,4)) + TIMEVALUE($B418), "")</f>
        <v/>
      </c>
      <c r="P418" s="34" t="str">
        <f>IF(Account!$F418&lt;&gt;"", DATEVALUE(MID($C418,4,3) &amp; LEFT($C418,3) &amp; RIGHT($C418,4)), "")</f>
        <v/>
      </c>
      <c r="Q418" s="35" t="str">
        <f t="array" ref="Q418">IF($R418&lt;&gt;"",IFERROR(INDEX(ISIN!$B:$B,MATCH($R418,ISIN!$C:$C,0))),)</f>
        <v/>
      </c>
      <c r="R418" s="36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5" t="str">
        <f t="shared" si="1"/>
        <v/>
      </c>
      <c r="T418" s="37" t="str">
        <f t="shared" si="2"/>
        <v/>
      </c>
      <c r="U418" s="38" t="str">
        <f t="shared" si="3"/>
        <v/>
      </c>
      <c r="V418" s="32" t="str">
        <f t="shared" si="4"/>
        <v/>
      </c>
      <c r="W418" s="39" t="str">
        <f>IFERROR(__xludf.DUMMYFUNCTION(" IF(Account!$F418&lt;&gt;"""", SPLIT(Account!$F418, "" ""), """")"),"")</f>
        <v/>
      </c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</row>
    <row r="419">
      <c r="A419" s="12"/>
      <c r="B419" s="12"/>
      <c r="C419" s="12"/>
      <c r="D419" s="12"/>
      <c r="E419" s="12"/>
      <c r="F419" s="13"/>
      <c r="G419" s="291"/>
      <c r="H419" s="12"/>
      <c r="I419" s="12"/>
      <c r="J419" s="12"/>
      <c r="K419" s="12"/>
      <c r="L419" s="13"/>
      <c r="M419" s="30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2" t="str">
        <f>IFERROR(__xludf.DUMMYFUNCTION("IF(Account!$F419&lt;&gt;"""", VALUE(REGEXREPLACE($I419, ""\,"", ""."")), """")"),"")</f>
        <v/>
      </c>
      <c r="O419" s="33" t="str">
        <f>IF(Account!$F419&lt;&gt;"", DATEVALUE(MID($A419,4,3) &amp; LEFT($A419,3) &amp; RIGHT($A419,4)) + TIMEVALUE($B419), "")</f>
        <v/>
      </c>
      <c r="P419" s="34" t="str">
        <f>IF(Account!$F419&lt;&gt;"", DATEVALUE(MID($C419,4,3) &amp; LEFT($C419,3) &amp; RIGHT($C419,4)), "")</f>
        <v/>
      </c>
      <c r="Q419" s="35" t="str">
        <f t="array" ref="Q419">IF($R419&lt;&gt;"",IFERROR(INDEX(ISIN!$B:$B,MATCH($R419,ISIN!$C:$C,0))),)</f>
        <v/>
      </c>
      <c r="R419" s="36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5" t="str">
        <f t="shared" si="1"/>
        <v/>
      </c>
      <c r="T419" s="37" t="str">
        <f t="shared" si="2"/>
        <v/>
      </c>
      <c r="U419" s="38" t="str">
        <f t="shared" si="3"/>
        <v/>
      </c>
      <c r="V419" s="32" t="str">
        <f t="shared" si="4"/>
        <v/>
      </c>
      <c r="W419" s="39" t="str">
        <f>IFERROR(__xludf.DUMMYFUNCTION(" IF(Account!$F419&lt;&gt;"""", SPLIT(Account!$F419, "" ""), """")"),"")</f>
        <v/>
      </c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</row>
    <row r="420">
      <c r="A420" s="12"/>
      <c r="B420" s="12"/>
      <c r="C420" s="12"/>
      <c r="D420" s="12"/>
      <c r="E420" s="12"/>
      <c r="F420" s="13"/>
      <c r="G420" s="12"/>
      <c r="H420" s="12"/>
      <c r="I420" s="12"/>
      <c r="J420" s="12"/>
      <c r="K420" s="12"/>
      <c r="L420" s="13"/>
      <c r="M420" s="30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2" t="str">
        <f>IFERROR(__xludf.DUMMYFUNCTION("IF(Account!$F420&lt;&gt;"""", VALUE(REGEXREPLACE($I420, ""\,"", ""."")), """")"),"")</f>
        <v/>
      </c>
      <c r="O420" s="33" t="str">
        <f>IF(Account!$F420&lt;&gt;"", DATEVALUE(MID($A420,4,3) &amp; LEFT($A420,3) &amp; RIGHT($A420,4)) + TIMEVALUE($B420), "")</f>
        <v/>
      </c>
      <c r="P420" s="34" t="str">
        <f>IF(Account!$F420&lt;&gt;"", DATEVALUE(MID($C420,4,3) &amp; LEFT($C420,3) &amp; RIGHT($C420,4)), "")</f>
        <v/>
      </c>
      <c r="Q420" s="35" t="str">
        <f t="array" ref="Q420">IF($R420&lt;&gt;"",IFERROR(INDEX(ISIN!$B:$B,MATCH($R420,ISIN!$C:$C,0))),)</f>
        <v/>
      </c>
      <c r="R420" s="36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5" t="str">
        <f t="shared" si="1"/>
        <v/>
      </c>
      <c r="T420" s="37" t="str">
        <f t="shared" si="2"/>
        <v/>
      </c>
      <c r="U420" s="38" t="str">
        <f t="shared" si="3"/>
        <v/>
      </c>
      <c r="V420" s="32" t="str">
        <f t="shared" si="4"/>
        <v/>
      </c>
      <c r="W420" s="39" t="str">
        <f>IFERROR(__xludf.DUMMYFUNCTION(" IF(Account!$F420&lt;&gt;"""", SPLIT(Account!$F420, "" ""), """")"),"")</f>
        <v/>
      </c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</row>
    <row r="421">
      <c r="A421" s="12"/>
      <c r="B421" s="12"/>
      <c r="C421" s="12"/>
      <c r="D421" s="12"/>
      <c r="E421" s="12"/>
      <c r="F421" s="13"/>
      <c r="G421" s="291"/>
      <c r="H421" s="12"/>
      <c r="I421" s="12"/>
      <c r="J421" s="12"/>
      <c r="K421" s="12"/>
      <c r="L421" s="13"/>
      <c r="M421" s="30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2" t="str">
        <f>IFERROR(__xludf.DUMMYFUNCTION("IF(Account!$F421&lt;&gt;"""", VALUE(REGEXREPLACE($I421, ""\,"", ""."")), """")"),"")</f>
        <v/>
      </c>
      <c r="O421" s="33" t="str">
        <f>IF(Account!$F421&lt;&gt;"", DATEVALUE(MID($A421,4,3) &amp; LEFT($A421,3) &amp; RIGHT($A421,4)) + TIMEVALUE($B421), "")</f>
        <v/>
      </c>
      <c r="P421" s="34" t="str">
        <f>IF(Account!$F421&lt;&gt;"", DATEVALUE(MID($C421,4,3) &amp; LEFT($C421,3) &amp; RIGHT($C421,4)), "")</f>
        <v/>
      </c>
      <c r="Q421" s="35" t="str">
        <f t="array" ref="Q421">IF($R421&lt;&gt;"",IFERROR(INDEX(ISIN!$B:$B,MATCH($R421,ISIN!$C:$C,0))),)</f>
        <v/>
      </c>
      <c r="R421" s="36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5" t="str">
        <f t="shared" si="1"/>
        <v/>
      </c>
      <c r="T421" s="37" t="str">
        <f t="shared" si="2"/>
        <v/>
      </c>
      <c r="U421" s="38" t="str">
        <f t="shared" si="3"/>
        <v/>
      </c>
      <c r="V421" s="32" t="str">
        <f t="shared" si="4"/>
        <v/>
      </c>
      <c r="W421" s="39" t="str">
        <f>IFERROR(__xludf.DUMMYFUNCTION(" IF(Account!$F421&lt;&gt;"""", SPLIT(Account!$F421, "" ""), """")"),"")</f>
        <v/>
      </c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</row>
    <row r="422">
      <c r="A422" s="12"/>
      <c r="B422" s="12"/>
      <c r="C422" s="12"/>
      <c r="D422" s="12"/>
      <c r="E422" s="12"/>
      <c r="F422" s="13"/>
      <c r="G422" s="12"/>
      <c r="H422" s="12"/>
      <c r="I422" s="12"/>
      <c r="J422" s="12"/>
      <c r="K422" s="12"/>
      <c r="L422" s="13"/>
      <c r="M422" s="30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2" t="str">
        <f>IFERROR(__xludf.DUMMYFUNCTION("IF(Account!$F422&lt;&gt;"""", VALUE(REGEXREPLACE($I422, ""\,"", ""."")), """")"),"")</f>
        <v/>
      </c>
      <c r="O422" s="33" t="str">
        <f>IF(Account!$F422&lt;&gt;"", DATEVALUE(MID($A422,4,3) &amp; LEFT($A422,3) &amp; RIGHT($A422,4)) + TIMEVALUE($B422), "")</f>
        <v/>
      </c>
      <c r="P422" s="34" t="str">
        <f>IF(Account!$F422&lt;&gt;"", DATEVALUE(MID($C422,4,3) &amp; LEFT($C422,3) &amp; RIGHT($C422,4)), "")</f>
        <v/>
      </c>
      <c r="Q422" s="35" t="str">
        <f t="array" ref="Q422">IF($R422&lt;&gt;"",IFERROR(INDEX(ISIN!$B:$B,MATCH($R422,ISIN!$C:$C,0))),)</f>
        <v/>
      </c>
      <c r="R422" s="36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5" t="str">
        <f t="shared" si="1"/>
        <v/>
      </c>
      <c r="T422" s="37" t="str">
        <f t="shared" si="2"/>
        <v/>
      </c>
      <c r="U422" s="38" t="str">
        <f t="shared" si="3"/>
        <v/>
      </c>
      <c r="V422" s="32" t="str">
        <f t="shared" si="4"/>
        <v/>
      </c>
      <c r="W422" s="39" t="str">
        <f>IFERROR(__xludf.DUMMYFUNCTION(" IF(Account!$F422&lt;&gt;"""", SPLIT(Account!$F422, "" ""), """")"),"")</f>
        <v/>
      </c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</row>
    <row r="423">
      <c r="A423" s="12"/>
      <c r="B423" s="12"/>
      <c r="C423" s="12"/>
      <c r="D423" s="12"/>
      <c r="E423" s="12"/>
      <c r="F423" s="13"/>
      <c r="G423" s="291"/>
      <c r="H423" s="12"/>
      <c r="I423" s="12"/>
      <c r="J423" s="12"/>
      <c r="K423" s="12"/>
      <c r="L423" s="13"/>
      <c r="M423" s="30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2" t="str">
        <f>IFERROR(__xludf.DUMMYFUNCTION("IF(Account!$F423&lt;&gt;"""", VALUE(REGEXREPLACE($I423, ""\,"", ""."")), """")"),"")</f>
        <v/>
      </c>
      <c r="O423" s="33" t="str">
        <f>IF(Account!$F423&lt;&gt;"", DATEVALUE(MID($A423,4,3) &amp; LEFT($A423,3) &amp; RIGHT($A423,4)) + TIMEVALUE($B423), "")</f>
        <v/>
      </c>
      <c r="P423" s="34" t="str">
        <f>IF(Account!$F423&lt;&gt;"", DATEVALUE(MID($C423,4,3) &amp; LEFT($C423,3) &amp; RIGHT($C423,4)), "")</f>
        <v/>
      </c>
      <c r="Q423" s="35" t="str">
        <f t="array" ref="Q423">IF($R423&lt;&gt;"",IFERROR(INDEX(ISIN!$B:$B,MATCH($R423,ISIN!$C:$C,0))),)</f>
        <v/>
      </c>
      <c r="R423" s="36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5" t="str">
        <f t="shared" si="1"/>
        <v/>
      </c>
      <c r="T423" s="37" t="str">
        <f t="shared" si="2"/>
        <v/>
      </c>
      <c r="U423" s="38" t="str">
        <f t="shared" si="3"/>
        <v/>
      </c>
      <c r="V423" s="32" t="str">
        <f t="shared" si="4"/>
        <v/>
      </c>
      <c r="W423" s="39" t="str">
        <f>IFERROR(__xludf.DUMMYFUNCTION(" IF(Account!$F423&lt;&gt;"""", SPLIT(Account!$F423, "" ""), """")"),"")</f>
        <v/>
      </c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</row>
    <row r="424">
      <c r="A424" s="12"/>
      <c r="B424" s="12"/>
      <c r="C424" s="12"/>
      <c r="D424" s="12"/>
      <c r="E424" s="12"/>
      <c r="F424" s="13"/>
      <c r="G424" s="12"/>
      <c r="H424" s="12"/>
      <c r="I424" s="12"/>
      <c r="J424" s="12"/>
      <c r="K424" s="12"/>
      <c r="L424" s="13"/>
      <c r="M424" s="30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2" t="str">
        <f>IFERROR(__xludf.DUMMYFUNCTION("IF(Account!$F424&lt;&gt;"""", VALUE(REGEXREPLACE($I424, ""\,"", ""."")), """")"),"")</f>
        <v/>
      </c>
      <c r="O424" s="33" t="str">
        <f>IF(Account!$F424&lt;&gt;"", DATEVALUE(MID($A424,4,3) &amp; LEFT($A424,3) &amp; RIGHT($A424,4)) + TIMEVALUE($B424), "")</f>
        <v/>
      </c>
      <c r="P424" s="34" t="str">
        <f>IF(Account!$F424&lt;&gt;"", DATEVALUE(MID($C424,4,3) &amp; LEFT($C424,3) &amp; RIGHT($C424,4)), "")</f>
        <v/>
      </c>
      <c r="Q424" s="35" t="str">
        <f t="array" ref="Q424">IF($R424&lt;&gt;"",IFERROR(INDEX(ISIN!$B:$B,MATCH($R424,ISIN!$C:$C,0))),)</f>
        <v/>
      </c>
      <c r="R424" s="36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5" t="str">
        <f t="shared" si="1"/>
        <v/>
      </c>
      <c r="T424" s="37" t="str">
        <f t="shared" si="2"/>
        <v/>
      </c>
      <c r="U424" s="38" t="str">
        <f t="shared" si="3"/>
        <v/>
      </c>
      <c r="V424" s="32" t="str">
        <f t="shared" si="4"/>
        <v/>
      </c>
      <c r="W424" s="39" t="str">
        <f>IFERROR(__xludf.DUMMYFUNCTION(" IF(Account!$F424&lt;&gt;"""", SPLIT(Account!$F424, "" ""), """")"),"")</f>
        <v/>
      </c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</row>
    <row r="425">
      <c r="A425" s="12"/>
      <c r="B425" s="12"/>
      <c r="C425" s="12"/>
      <c r="D425" s="12"/>
      <c r="E425" s="12"/>
      <c r="F425" s="13"/>
      <c r="G425" s="291"/>
      <c r="H425" s="12"/>
      <c r="I425" s="12"/>
      <c r="J425" s="12"/>
      <c r="K425" s="12"/>
      <c r="L425" s="13"/>
      <c r="M425" s="30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2" t="str">
        <f>IFERROR(__xludf.DUMMYFUNCTION("IF(Account!$F425&lt;&gt;"""", VALUE(REGEXREPLACE($I425, ""\,"", ""."")), """")"),"")</f>
        <v/>
      </c>
      <c r="O425" s="33" t="str">
        <f>IF(Account!$F425&lt;&gt;"", DATEVALUE(MID($A425,4,3) &amp; LEFT($A425,3) &amp; RIGHT($A425,4)) + TIMEVALUE($B425), "")</f>
        <v/>
      </c>
      <c r="P425" s="34" t="str">
        <f>IF(Account!$F425&lt;&gt;"", DATEVALUE(MID($C425,4,3) &amp; LEFT($C425,3) &amp; RIGHT($C425,4)), "")</f>
        <v/>
      </c>
      <c r="Q425" s="35" t="str">
        <f t="array" ref="Q425">IF($R425&lt;&gt;"",IFERROR(INDEX(ISIN!$B:$B,MATCH($R425,ISIN!$C:$C,0))),)</f>
        <v/>
      </c>
      <c r="R425" s="36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5" t="str">
        <f t="shared" si="1"/>
        <v/>
      </c>
      <c r="T425" s="37" t="str">
        <f t="shared" si="2"/>
        <v/>
      </c>
      <c r="U425" s="38" t="str">
        <f t="shared" si="3"/>
        <v/>
      </c>
      <c r="V425" s="32" t="str">
        <f t="shared" si="4"/>
        <v/>
      </c>
      <c r="W425" s="39" t="str">
        <f>IFERROR(__xludf.DUMMYFUNCTION(" IF(Account!$F425&lt;&gt;"""", SPLIT(Account!$F425, "" ""), """")"),"")</f>
        <v/>
      </c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</row>
    <row r="426">
      <c r="A426" s="12"/>
      <c r="B426" s="12"/>
      <c r="C426" s="12"/>
      <c r="D426" s="12"/>
      <c r="E426" s="12"/>
      <c r="F426" s="13"/>
      <c r="G426" s="12"/>
      <c r="H426" s="12"/>
      <c r="I426" s="12"/>
      <c r="J426" s="12"/>
      <c r="K426" s="12"/>
      <c r="L426" s="13"/>
      <c r="M426" s="30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2" t="str">
        <f>IFERROR(__xludf.DUMMYFUNCTION("IF(Account!$F426&lt;&gt;"""", VALUE(REGEXREPLACE($I426, ""\,"", ""."")), """")"),"")</f>
        <v/>
      </c>
      <c r="O426" s="33" t="str">
        <f>IF(Account!$F426&lt;&gt;"", DATEVALUE(MID($A426,4,3) &amp; LEFT($A426,3) &amp; RIGHT($A426,4)) + TIMEVALUE($B426), "")</f>
        <v/>
      </c>
      <c r="P426" s="34" t="str">
        <f>IF(Account!$F426&lt;&gt;"", DATEVALUE(MID($C426,4,3) &amp; LEFT($C426,3) &amp; RIGHT($C426,4)), "")</f>
        <v/>
      </c>
      <c r="Q426" s="35" t="str">
        <f t="array" ref="Q426">IF($R426&lt;&gt;"",IFERROR(INDEX(ISIN!$B:$B,MATCH($R426,ISIN!$C:$C,0))),)</f>
        <v/>
      </c>
      <c r="R426" s="36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5" t="str">
        <f t="shared" si="1"/>
        <v/>
      </c>
      <c r="T426" s="37" t="str">
        <f t="shared" si="2"/>
        <v/>
      </c>
      <c r="U426" s="38" t="str">
        <f t="shared" si="3"/>
        <v/>
      </c>
      <c r="V426" s="32" t="str">
        <f t="shared" si="4"/>
        <v/>
      </c>
      <c r="W426" s="39" t="str">
        <f>IFERROR(__xludf.DUMMYFUNCTION(" IF(Account!$F426&lt;&gt;"""", SPLIT(Account!$F426, "" ""), """")"),"")</f>
        <v/>
      </c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</row>
    <row r="427">
      <c r="A427" s="12"/>
      <c r="B427" s="12"/>
      <c r="C427" s="12"/>
      <c r="D427" s="12"/>
      <c r="E427" s="12"/>
      <c r="F427" s="13"/>
      <c r="G427" s="291"/>
      <c r="H427" s="12"/>
      <c r="I427" s="12"/>
      <c r="J427" s="12"/>
      <c r="K427" s="12"/>
      <c r="L427" s="13"/>
      <c r="M427" s="30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2" t="str">
        <f>IFERROR(__xludf.DUMMYFUNCTION("IF(Account!$F427&lt;&gt;"""", VALUE(REGEXREPLACE($I427, ""\,"", ""."")), """")"),"")</f>
        <v/>
      </c>
      <c r="O427" s="33" t="str">
        <f>IF(Account!$F427&lt;&gt;"", DATEVALUE(MID($A427,4,3) &amp; LEFT($A427,3) &amp; RIGHT($A427,4)) + TIMEVALUE($B427), "")</f>
        <v/>
      </c>
      <c r="P427" s="34" t="str">
        <f>IF(Account!$F427&lt;&gt;"", DATEVALUE(MID($C427,4,3) &amp; LEFT($C427,3) &amp; RIGHT($C427,4)), "")</f>
        <v/>
      </c>
      <c r="Q427" s="35" t="str">
        <f t="array" ref="Q427">IF($R427&lt;&gt;"",IFERROR(INDEX(ISIN!$B:$B,MATCH($R427,ISIN!$C:$C,0))),)</f>
        <v/>
      </c>
      <c r="R427" s="36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5" t="str">
        <f t="shared" si="1"/>
        <v/>
      </c>
      <c r="T427" s="37" t="str">
        <f t="shared" si="2"/>
        <v/>
      </c>
      <c r="U427" s="38" t="str">
        <f t="shared" si="3"/>
        <v/>
      </c>
      <c r="V427" s="32" t="str">
        <f t="shared" si="4"/>
        <v/>
      </c>
      <c r="W427" s="39" t="str">
        <f>IFERROR(__xludf.DUMMYFUNCTION(" IF(Account!$F427&lt;&gt;"""", SPLIT(Account!$F427, "" ""), """")"),"")</f>
        <v/>
      </c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</row>
    <row r="428">
      <c r="A428" s="12"/>
      <c r="B428" s="12"/>
      <c r="C428" s="12"/>
      <c r="D428" s="12"/>
      <c r="E428" s="12"/>
      <c r="F428" s="13"/>
      <c r="G428" s="12"/>
      <c r="H428" s="12"/>
      <c r="I428" s="12"/>
      <c r="J428" s="12"/>
      <c r="K428" s="12"/>
      <c r="L428" s="13"/>
      <c r="M428" s="30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2" t="str">
        <f>IFERROR(__xludf.DUMMYFUNCTION("IF(Account!$F428&lt;&gt;"""", VALUE(REGEXREPLACE($I428, ""\,"", ""."")), """")"),"")</f>
        <v/>
      </c>
      <c r="O428" s="33" t="str">
        <f>IF(Account!$F428&lt;&gt;"", DATEVALUE(MID($A428,4,3) &amp; LEFT($A428,3) &amp; RIGHT($A428,4)) + TIMEVALUE($B428), "")</f>
        <v/>
      </c>
      <c r="P428" s="34" t="str">
        <f>IF(Account!$F428&lt;&gt;"", DATEVALUE(MID($C428,4,3) &amp; LEFT($C428,3) &amp; RIGHT($C428,4)), "")</f>
        <v/>
      </c>
      <c r="Q428" s="35" t="str">
        <f t="array" ref="Q428">IF($R428&lt;&gt;"",IFERROR(INDEX(ISIN!$B:$B,MATCH($R428,ISIN!$C:$C,0))),)</f>
        <v/>
      </c>
      <c r="R428" s="36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5" t="str">
        <f t="shared" si="1"/>
        <v/>
      </c>
      <c r="T428" s="37" t="str">
        <f t="shared" si="2"/>
        <v/>
      </c>
      <c r="U428" s="38" t="str">
        <f t="shared" si="3"/>
        <v/>
      </c>
      <c r="V428" s="32" t="str">
        <f t="shared" si="4"/>
        <v/>
      </c>
      <c r="W428" s="39" t="str">
        <f>IFERROR(__xludf.DUMMYFUNCTION(" IF(Account!$F428&lt;&gt;"""", SPLIT(Account!$F428, "" ""), """")"),"")</f>
        <v/>
      </c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</row>
    <row r="429">
      <c r="A429" s="12"/>
      <c r="B429" s="12"/>
      <c r="C429" s="12"/>
      <c r="D429" s="12"/>
      <c r="E429" s="12"/>
      <c r="F429" s="13"/>
      <c r="G429" s="291"/>
      <c r="H429" s="12"/>
      <c r="I429" s="12"/>
      <c r="J429" s="12"/>
      <c r="K429" s="12"/>
      <c r="L429" s="13"/>
      <c r="M429" s="30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2" t="str">
        <f>IFERROR(__xludf.DUMMYFUNCTION("IF(Account!$F429&lt;&gt;"""", VALUE(REGEXREPLACE($I429, ""\,"", ""."")), """")"),"")</f>
        <v/>
      </c>
      <c r="O429" s="33" t="str">
        <f>IF(Account!$F429&lt;&gt;"", DATEVALUE(MID($A429,4,3) &amp; LEFT($A429,3) &amp; RIGHT($A429,4)) + TIMEVALUE($B429), "")</f>
        <v/>
      </c>
      <c r="P429" s="34" t="str">
        <f>IF(Account!$F429&lt;&gt;"", DATEVALUE(MID($C429,4,3) &amp; LEFT($C429,3) &amp; RIGHT($C429,4)), "")</f>
        <v/>
      </c>
      <c r="Q429" s="35" t="str">
        <f t="array" ref="Q429">IF($R429&lt;&gt;"",IFERROR(INDEX(ISIN!$B:$B,MATCH($R429,ISIN!$C:$C,0))),)</f>
        <v/>
      </c>
      <c r="R429" s="36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5" t="str">
        <f t="shared" si="1"/>
        <v/>
      </c>
      <c r="T429" s="37" t="str">
        <f t="shared" si="2"/>
        <v/>
      </c>
      <c r="U429" s="38" t="str">
        <f t="shared" si="3"/>
        <v/>
      </c>
      <c r="V429" s="32" t="str">
        <f t="shared" si="4"/>
        <v/>
      </c>
      <c r="W429" s="39" t="str">
        <f>IFERROR(__xludf.DUMMYFUNCTION(" IF(Account!$F429&lt;&gt;"""", SPLIT(Account!$F429, "" ""), """")"),"")</f>
        <v/>
      </c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</row>
    <row r="430">
      <c r="A430" s="12"/>
      <c r="B430" s="12"/>
      <c r="C430" s="12"/>
      <c r="D430" s="12"/>
      <c r="E430" s="12"/>
      <c r="F430" s="13"/>
      <c r="G430" s="12"/>
      <c r="H430" s="12"/>
      <c r="I430" s="12"/>
      <c r="J430" s="12"/>
      <c r="K430" s="12"/>
      <c r="L430" s="13"/>
      <c r="M430" s="30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2" t="str">
        <f>IFERROR(__xludf.DUMMYFUNCTION("IF(Account!$F430&lt;&gt;"""", VALUE(REGEXREPLACE($I430, ""\,"", ""."")), """")"),"")</f>
        <v/>
      </c>
      <c r="O430" s="33" t="str">
        <f>IF(Account!$F430&lt;&gt;"", DATEVALUE(MID($A430,4,3) &amp; LEFT($A430,3) &amp; RIGHT($A430,4)) + TIMEVALUE($B430), "")</f>
        <v/>
      </c>
      <c r="P430" s="34" t="str">
        <f>IF(Account!$F430&lt;&gt;"", DATEVALUE(MID($C430,4,3) &amp; LEFT($C430,3) &amp; RIGHT($C430,4)), "")</f>
        <v/>
      </c>
      <c r="Q430" s="35" t="str">
        <f t="array" ref="Q430">IF($R430&lt;&gt;"",IFERROR(INDEX(ISIN!$B:$B,MATCH($R430,ISIN!$C:$C,0))),)</f>
        <v/>
      </c>
      <c r="R430" s="36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5" t="str">
        <f t="shared" si="1"/>
        <v/>
      </c>
      <c r="T430" s="37" t="str">
        <f t="shared" si="2"/>
        <v/>
      </c>
      <c r="U430" s="38" t="str">
        <f t="shared" si="3"/>
        <v/>
      </c>
      <c r="V430" s="32" t="str">
        <f t="shared" si="4"/>
        <v/>
      </c>
      <c r="W430" s="39" t="str">
        <f>IFERROR(__xludf.DUMMYFUNCTION(" IF(Account!$F430&lt;&gt;"""", SPLIT(Account!$F430, "" ""), """")"),"")</f>
        <v/>
      </c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</row>
    <row r="431">
      <c r="A431" s="12"/>
      <c r="B431" s="12"/>
      <c r="C431" s="12"/>
      <c r="D431" s="12"/>
      <c r="E431" s="12"/>
      <c r="F431" s="13"/>
      <c r="G431" s="291"/>
      <c r="H431" s="12"/>
      <c r="I431" s="12"/>
      <c r="J431" s="12"/>
      <c r="K431" s="12"/>
      <c r="L431" s="13"/>
      <c r="M431" s="30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2" t="str">
        <f>IFERROR(__xludf.DUMMYFUNCTION("IF(Account!$F431&lt;&gt;"""", VALUE(REGEXREPLACE($I431, ""\,"", ""."")), """")"),"")</f>
        <v/>
      </c>
      <c r="O431" s="33" t="str">
        <f>IF(Account!$F431&lt;&gt;"", DATEVALUE(MID($A431,4,3) &amp; LEFT($A431,3) &amp; RIGHT($A431,4)) + TIMEVALUE($B431), "")</f>
        <v/>
      </c>
      <c r="P431" s="34" t="str">
        <f>IF(Account!$F431&lt;&gt;"", DATEVALUE(MID($C431,4,3) &amp; LEFT($C431,3) &amp; RIGHT($C431,4)), "")</f>
        <v/>
      </c>
      <c r="Q431" s="35" t="str">
        <f t="array" ref="Q431">IF($R431&lt;&gt;"",IFERROR(INDEX(ISIN!$B:$B,MATCH($R431,ISIN!$C:$C,0))),)</f>
        <v/>
      </c>
      <c r="R431" s="36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5" t="str">
        <f t="shared" si="1"/>
        <v/>
      </c>
      <c r="T431" s="37" t="str">
        <f t="shared" si="2"/>
        <v/>
      </c>
      <c r="U431" s="38" t="str">
        <f t="shared" si="3"/>
        <v/>
      </c>
      <c r="V431" s="32" t="str">
        <f t="shared" si="4"/>
        <v/>
      </c>
      <c r="W431" s="39" t="str">
        <f>IFERROR(__xludf.DUMMYFUNCTION(" IF(Account!$F431&lt;&gt;"""", SPLIT(Account!$F431, "" ""), """")"),"")</f>
        <v/>
      </c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</row>
    <row r="432">
      <c r="A432" s="12"/>
      <c r="B432" s="12"/>
      <c r="C432" s="12"/>
      <c r="D432" s="12"/>
      <c r="E432" s="12"/>
      <c r="F432" s="13"/>
      <c r="G432" s="291"/>
      <c r="H432" s="12"/>
      <c r="I432" s="12"/>
      <c r="J432" s="12"/>
      <c r="K432" s="12"/>
      <c r="L432" s="13"/>
      <c r="M432" s="30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2" t="str">
        <f>IFERROR(__xludf.DUMMYFUNCTION("IF(Account!$F432&lt;&gt;"""", VALUE(REGEXREPLACE($I432, ""\,"", ""."")), """")"),"")</f>
        <v/>
      </c>
      <c r="O432" s="33" t="str">
        <f>IF(Account!$F432&lt;&gt;"", DATEVALUE(MID($A432,4,3) &amp; LEFT($A432,3) &amp; RIGHT($A432,4)) + TIMEVALUE($B432), "")</f>
        <v/>
      </c>
      <c r="P432" s="34" t="str">
        <f>IF(Account!$F432&lt;&gt;"", DATEVALUE(MID($C432,4,3) &amp; LEFT($C432,3) &amp; RIGHT($C432,4)), "")</f>
        <v/>
      </c>
      <c r="Q432" s="35" t="str">
        <f t="array" ref="Q432">IF($R432&lt;&gt;"",IFERROR(INDEX(ISIN!$B:$B,MATCH($R432,ISIN!$C:$C,0))),)</f>
        <v/>
      </c>
      <c r="R432" s="36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5" t="str">
        <f t="shared" si="1"/>
        <v/>
      </c>
      <c r="T432" s="37" t="str">
        <f t="shared" si="2"/>
        <v/>
      </c>
      <c r="U432" s="38" t="str">
        <f t="shared" si="3"/>
        <v/>
      </c>
      <c r="V432" s="32" t="str">
        <f t="shared" si="4"/>
        <v/>
      </c>
      <c r="W432" s="39" t="str">
        <f>IFERROR(__xludf.DUMMYFUNCTION(" IF(Account!$F432&lt;&gt;"""", SPLIT(Account!$F432, "" ""), """")"),"")</f>
        <v/>
      </c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</row>
    <row r="433">
      <c r="A433" s="12"/>
      <c r="B433" s="12"/>
      <c r="C433" s="12"/>
      <c r="D433" s="12"/>
      <c r="E433" s="12"/>
      <c r="F433" s="13"/>
      <c r="G433" s="291"/>
      <c r="H433" s="12"/>
      <c r="I433" s="12"/>
      <c r="J433" s="12"/>
      <c r="K433" s="12"/>
      <c r="L433" s="13"/>
      <c r="M433" s="30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2" t="str">
        <f>IFERROR(__xludf.DUMMYFUNCTION("IF(Account!$F433&lt;&gt;"""", VALUE(REGEXREPLACE($I433, ""\,"", ""."")), """")"),"")</f>
        <v/>
      </c>
      <c r="O433" s="33" t="str">
        <f>IF(Account!$F433&lt;&gt;"", DATEVALUE(MID($A433,4,3) &amp; LEFT($A433,3) &amp; RIGHT($A433,4)) + TIMEVALUE($B433), "")</f>
        <v/>
      </c>
      <c r="P433" s="34" t="str">
        <f>IF(Account!$F433&lt;&gt;"", DATEVALUE(MID($C433,4,3) &amp; LEFT($C433,3) &amp; RIGHT($C433,4)), "")</f>
        <v/>
      </c>
      <c r="Q433" s="35" t="str">
        <f t="array" ref="Q433">IF($R433&lt;&gt;"",IFERROR(INDEX(ISIN!$B:$B,MATCH($R433,ISIN!$C:$C,0))),)</f>
        <v/>
      </c>
      <c r="R433" s="36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5" t="str">
        <f t="shared" si="1"/>
        <v/>
      </c>
      <c r="T433" s="37" t="str">
        <f t="shared" si="2"/>
        <v/>
      </c>
      <c r="U433" s="38" t="str">
        <f t="shared" si="3"/>
        <v/>
      </c>
      <c r="V433" s="32" t="str">
        <f t="shared" si="4"/>
        <v/>
      </c>
      <c r="W433" s="39" t="str">
        <f>IFERROR(__xludf.DUMMYFUNCTION(" IF(Account!$F433&lt;&gt;"""", SPLIT(Account!$F433, "" ""), """")"),"")</f>
        <v/>
      </c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</row>
    <row r="434">
      <c r="A434" s="12"/>
      <c r="B434" s="12"/>
      <c r="C434" s="12"/>
      <c r="D434" s="12"/>
      <c r="E434" s="12"/>
      <c r="F434" s="13"/>
      <c r="G434" s="291"/>
      <c r="H434" s="12"/>
      <c r="I434" s="12"/>
      <c r="J434" s="12"/>
      <c r="K434" s="12"/>
      <c r="L434" s="13"/>
      <c r="M434" s="30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2" t="str">
        <f>IFERROR(__xludf.DUMMYFUNCTION("IF(Account!$F434&lt;&gt;"""", VALUE(REGEXREPLACE($I434, ""\,"", ""."")), """")"),"")</f>
        <v/>
      </c>
      <c r="O434" s="33" t="str">
        <f>IF(Account!$F434&lt;&gt;"", DATEVALUE(MID($A434,4,3) &amp; LEFT($A434,3) &amp; RIGHT($A434,4)) + TIMEVALUE($B434), "")</f>
        <v/>
      </c>
      <c r="P434" s="34" t="str">
        <f>IF(Account!$F434&lt;&gt;"", DATEVALUE(MID($C434,4,3) &amp; LEFT($C434,3) &amp; RIGHT($C434,4)), "")</f>
        <v/>
      </c>
      <c r="Q434" s="35" t="str">
        <f t="array" ref="Q434">IF($R434&lt;&gt;"",IFERROR(INDEX(ISIN!$B:$B,MATCH($R434,ISIN!$C:$C,0))),)</f>
        <v/>
      </c>
      <c r="R434" s="36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5" t="str">
        <f t="shared" si="1"/>
        <v/>
      </c>
      <c r="T434" s="37" t="str">
        <f t="shared" si="2"/>
        <v/>
      </c>
      <c r="U434" s="38" t="str">
        <f t="shared" si="3"/>
        <v/>
      </c>
      <c r="V434" s="32" t="str">
        <f t="shared" si="4"/>
        <v/>
      </c>
      <c r="W434" s="39" t="str">
        <f>IFERROR(__xludf.DUMMYFUNCTION(" IF(Account!$F434&lt;&gt;"""", SPLIT(Account!$F434, "" ""), """")"),"")</f>
        <v/>
      </c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</row>
    <row r="435">
      <c r="A435" s="12"/>
      <c r="B435" s="12"/>
      <c r="C435" s="12"/>
      <c r="D435" s="12"/>
      <c r="E435" s="12"/>
      <c r="F435" s="13"/>
      <c r="G435" s="12"/>
      <c r="H435" s="12"/>
      <c r="I435" s="12"/>
      <c r="J435" s="12"/>
      <c r="K435" s="12"/>
      <c r="L435" s="13"/>
      <c r="M435" s="30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2" t="str">
        <f>IFERROR(__xludf.DUMMYFUNCTION("IF(Account!$F435&lt;&gt;"""", VALUE(REGEXREPLACE($I435, ""\,"", ""."")), """")"),"")</f>
        <v/>
      </c>
      <c r="O435" s="33" t="str">
        <f>IF(Account!$F435&lt;&gt;"", DATEVALUE(MID($A435,4,3) &amp; LEFT($A435,3) &amp; RIGHT($A435,4)) + TIMEVALUE($B435), "")</f>
        <v/>
      </c>
      <c r="P435" s="34" t="str">
        <f>IF(Account!$F435&lt;&gt;"", DATEVALUE(MID($C435,4,3) &amp; LEFT($C435,3) &amp; RIGHT($C435,4)), "")</f>
        <v/>
      </c>
      <c r="Q435" s="35" t="str">
        <f t="array" ref="Q435">IF($R435&lt;&gt;"",IFERROR(INDEX(ISIN!$B:$B,MATCH($R435,ISIN!$C:$C,0))),)</f>
        <v/>
      </c>
      <c r="R435" s="36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5" t="str">
        <f t="shared" si="1"/>
        <v/>
      </c>
      <c r="T435" s="37" t="str">
        <f t="shared" si="2"/>
        <v/>
      </c>
      <c r="U435" s="38" t="str">
        <f t="shared" si="3"/>
        <v/>
      </c>
      <c r="V435" s="32" t="str">
        <f t="shared" si="4"/>
        <v/>
      </c>
      <c r="W435" s="39" t="str">
        <f>IFERROR(__xludf.DUMMYFUNCTION(" IF(Account!$F435&lt;&gt;"""", SPLIT(Account!$F435, "" ""), """")"),"")</f>
        <v/>
      </c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</row>
    <row r="436">
      <c r="A436" s="12"/>
      <c r="B436" s="12"/>
      <c r="C436" s="12"/>
      <c r="D436" s="12"/>
      <c r="E436" s="12"/>
      <c r="F436" s="13"/>
      <c r="G436" s="291"/>
      <c r="H436" s="12"/>
      <c r="I436" s="12"/>
      <c r="J436" s="12"/>
      <c r="K436" s="12"/>
      <c r="L436" s="13"/>
      <c r="M436" s="30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2" t="str">
        <f>IFERROR(__xludf.DUMMYFUNCTION("IF(Account!$F436&lt;&gt;"""", VALUE(REGEXREPLACE($I436, ""\,"", ""."")), """")"),"")</f>
        <v/>
      </c>
      <c r="O436" s="33" t="str">
        <f>IF(Account!$F436&lt;&gt;"", DATEVALUE(MID($A436,4,3) &amp; LEFT($A436,3) &amp; RIGHT($A436,4)) + TIMEVALUE($B436), "")</f>
        <v/>
      </c>
      <c r="P436" s="34" t="str">
        <f>IF(Account!$F436&lt;&gt;"", DATEVALUE(MID($C436,4,3) &amp; LEFT($C436,3) &amp; RIGHT($C436,4)), "")</f>
        <v/>
      </c>
      <c r="Q436" s="35" t="str">
        <f t="array" ref="Q436">IF($R436&lt;&gt;"",IFERROR(INDEX(ISIN!$B:$B,MATCH($R436,ISIN!$C:$C,0))),)</f>
        <v/>
      </c>
      <c r="R436" s="36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5" t="str">
        <f t="shared" si="1"/>
        <v/>
      </c>
      <c r="T436" s="37" t="str">
        <f t="shared" si="2"/>
        <v/>
      </c>
      <c r="U436" s="38" t="str">
        <f t="shared" si="3"/>
        <v/>
      </c>
      <c r="V436" s="32" t="str">
        <f t="shared" si="4"/>
        <v/>
      </c>
      <c r="W436" s="39" t="str">
        <f>IFERROR(__xludf.DUMMYFUNCTION(" IF(Account!$F436&lt;&gt;"""", SPLIT(Account!$F436, "" ""), """")"),"")</f>
        <v/>
      </c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</row>
    <row r="437">
      <c r="A437" s="12"/>
      <c r="B437" s="12"/>
      <c r="C437" s="12"/>
      <c r="D437" s="12"/>
      <c r="E437" s="12"/>
      <c r="F437" s="13"/>
      <c r="G437" s="291"/>
      <c r="H437" s="12"/>
      <c r="I437" s="12"/>
      <c r="J437" s="12"/>
      <c r="K437" s="12"/>
      <c r="L437" s="13"/>
      <c r="M437" s="30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2" t="str">
        <f>IFERROR(__xludf.DUMMYFUNCTION("IF(Account!$F437&lt;&gt;"""", VALUE(REGEXREPLACE($I437, ""\,"", ""."")), """")"),"")</f>
        <v/>
      </c>
      <c r="O437" s="33" t="str">
        <f>IF(Account!$F437&lt;&gt;"", DATEVALUE(MID($A437,4,3) &amp; LEFT($A437,3) &amp; RIGHT($A437,4)) + TIMEVALUE($B437), "")</f>
        <v/>
      </c>
      <c r="P437" s="34" t="str">
        <f>IF(Account!$F437&lt;&gt;"", DATEVALUE(MID($C437,4,3) &amp; LEFT($C437,3) &amp; RIGHT($C437,4)), "")</f>
        <v/>
      </c>
      <c r="Q437" s="35" t="str">
        <f t="array" ref="Q437">IF($R437&lt;&gt;"",IFERROR(INDEX(ISIN!$B:$B,MATCH($R437,ISIN!$C:$C,0))),)</f>
        <v/>
      </c>
      <c r="R437" s="36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5" t="str">
        <f t="shared" si="1"/>
        <v/>
      </c>
      <c r="T437" s="37" t="str">
        <f t="shared" si="2"/>
        <v/>
      </c>
      <c r="U437" s="38" t="str">
        <f t="shared" si="3"/>
        <v/>
      </c>
      <c r="V437" s="32" t="str">
        <f t="shared" si="4"/>
        <v/>
      </c>
      <c r="W437" s="39" t="str">
        <f>IFERROR(__xludf.DUMMYFUNCTION(" IF(Account!$F437&lt;&gt;"""", SPLIT(Account!$F437, "" ""), """")"),"")</f>
        <v/>
      </c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</row>
    <row r="438">
      <c r="A438" s="12"/>
      <c r="B438" s="12"/>
      <c r="C438" s="12"/>
      <c r="D438" s="12"/>
      <c r="E438" s="12"/>
      <c r="F438" s="13"/>
      <c r="G438" s="291"/>
      <c r="H438" s="12"/>
      <c r="I438" s="12"/>
      <c r="J438" s="12"/>
      <c r="K438" s="12"/>
      <c r="L438" s="13"/>
      <c r="M438" s="30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2" t="str">
        <f>IFERROR(__xludf.DUMMYFUNCTION("IF(Account!$F438&lt;&gt;"""", VALUE(REGEXREPLACE($I438, ""\,"", ""."")), """")"),"")</f>
        <v/>
      </c>
      <c r="O438" s="33" t="str">
        <f>IF(Account!$F438&lt;&gt;"", DATEVALUE(MID($A438,4,3) &amp; LEFT($A438,3) &amp; RIGHT($A438,4)) + TIMEVALUE($B438), "")</f>
        <v/>
      </c>
      <c r="P438" s="34" t="str">
        <f>IF(Account!$F438&lt;&gt;"", DATEVALUE(MID($C438,4,3) &amp; LEFT($C438,3) &amp; RIGHT($C438,4)), "")</f>
        <v/>
      </c>
      <c r="Q438" s="35" t="str">
        <f t="array" ref="Q438">IF($R438&lt;&gt;"",IFERROR(INDEX(ISIN!$B:$B,MATCH($R438,ISIN!$C:$C,0))),)</f>
        <v/>
      </c>
      <c r="R438" s="36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5" t="str">
        <f t="shared" si="1"/>
        <v/>
      </c>
      <c r="T438" s="37" t="str">
        <f t="shared" si="2"/>
        <v/>
      </c>
      <c r="U438" s="38" t="str">
        <f t="shared" si="3"/>
        <v/>
      </c>
      <c r="V438" s="32" t="str">
        <f t="shared" si="4"/>
        <v/>
      </c>
      <c r="W438" s="39" t="str">
        <f>IFERROR(__xludf.DUMMYFUNCTION(" IF(Account!$F438&lt;&gt;"""", SPLIT(Account!$F438, "" ""), """")"),"")</f>
        <v/>
      </c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</row>
    <row r="439">
      <c r="A439" s="12"/>
      <c r="B439" s="12"/>
      <c r="C439" s="12"/>
      <c r="D439" s="12"/>
      <c r="E439" s="12"/>
      <c r="F439" s="13"/>
      <c r="G439" s="291"/>
      <c r="H439" s="12"/>
      <c r="I439" s="12"/>
      <c r="J439" s="12"/>
      <c r="K439" s="12"/>
      <c r="L439" s="13"/>
      <c r="M439" s="30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2" t="str">
        <f>IFERROR(__xludf.DUMMYFUNCTION("IF(Account!$F439&lt;&gt;"""", VALUE(REGEXREPLACE($I439, ""\,"", ""."")), """")"),"")</f>
        <v/>
      </c>
      <c r="O439" s="33" t="str">
        <f>IF(Account!$F439&lt;&gt;"", DATEVALUE(MID($A439,4,3) &amp; LEFT($A439,3) &amp; RIGHT($A439,4)) + TIMEVALUE($B439), "")</f>
        <v/>
      </c>
      <c r="P439" s="34" t="str">
        <f>IF(Account!$F439&lt;&gt;"", DATEVALUE(MID($C439,4,3) &amp; LEFT($C439,3) &amp; RIGHT($C439,4)), "")</f>
        <v/>
      </c>
      <c r="Q439" s="35" t="str">
        <f t="array" ref="Q439">IF($R439&lt;&gt;"",IFERROR(INDEX(ISIN!$B:$B,MATCH($R439,ISIN!$C:$C,0))),)</f>
        <v/>
      </c>
      <c r="R439" s="36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5" t="str">
        <f t="shared" si="1"/>
        <v/>
      </c>
      <c r="T439" s="37" t="str">
        <f t="shared" si="2"/>
        <v/>
      </c>
      <c r="U439" s="38" t="str">
        <f t="shared" si="3"/>
        <v/>
      </c>
      <c r="V439" s="32" t="str">
        <f t="shared" si="4"/>
        <v/>
      </c>
      <c r="W439" s="39" t="str">
        <f>IFERROR(__xludf.DUMMYFUNCTION(" IF(Account!$F439&lt;&gt;"""", SPLIT(Account!$F439, "" ""), """")"),"")</f>
        <v/>
      </c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</row>
    <row r="440">
      <c r="A440" s="12"/>
      <c r="B440" s="12"/>
      <c r="C440" s="12"/>
      <c r="D440" s="12"/>
      <c r="E440" s="12"/>
      <c r="F440" s="13"/>
      <c r="G440" s="12"/>
      <c r="H440" s="12"/>
      <c r="I440" s="12"/>
      <c r="J440" s="12"/>
      <c r="K440" s="12"/>
      <c r="L440" s="13"/>
      <c r="M440" s="30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2" t="str">
        <f>IFERROR(__xludf.DUMMYFUNCTION("IF(Account!$F440&lt;&gt;"""", VALUE(REGEXREPLACE($I440, ""\,"", ""."")), """")"),"")</f>
        <v/>
      </c>
      <c r="O440" s="33" t="str">
        <f>IF(Account!$F440&lt;&gt;"", DATEVALUE(MID($A440,4,3) &amp; LEFT($A440,3) &amp; RIGHT($A440,4)) + TIMEVALUE($B440), "")</f>
        <v/>
      </c>
      <c r="P440" s="34" t="str">
        <f>IF(Account!$F440&lt;&gt;"", DATEVALUE(MID($C440,4,3) &amp; LEFT($C440,3) &amp; RIGHT($C440,4)), "")</f>
        <v/>
      </c>
      <c r="Q440" s="35" t="str">
        <f t="array" ref="Q440">IF($R440&lt;&gt;"",IFERROR(INDEX(ISIN!$B:$B,MATCH($R440,ISIN!$C:$C,0))),)</f>
        <v/>
      </c>
      <c r="R440" s="36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5" t="str">
        <f t="shared" si="1"/>
        <v/>
      </c>
      <c r="T440" s="37" t="str">
        <f t="shared" si="2"/>
        <v/>
      </c>
      <c r="U440" s="38" t="str">
        <f t="shared" si="3"/>
        <v/>
      </c>
      <c r="V440" s="32" t="str">
        <f t="shared" si="4"/>
        <v/>
      </c>
      <c r="W440" s="39" t="str">
        <f>IFERROR(__xludf.DUMMYFUNCTION(" IF(Account!$F440&lt;&gt;"""", SPLIT(Account!$F440, "" ""), """")"),"")</f>
        <v/>
      </c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</row>
    <row r="441">
      <c r="A441" s="12"/>
      <c r="B441" s="12"/>
      <c r="C441" s="12"/>
      <c r="D441" s="12"/>
      <c r="E441" s="12"/>
      <c r="F441" s="13"/>
      <c r="G441" s="291"/>
      <c r="H441" s="12"/>
      <c r="I441" s="12"/>
      <c r="J441" s="12"/>
      <c r="K441" s="12"/>
      <c r="L441" s="13"/>
      <c r="M441" s="30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2" t="str">
        <f>IFERROR(__xludf.DUMMYFUNCTION("IF(Account!$F441&lt;&gt;"""", VALUE(REGEXREPLACE($I441, ""\,"", ""."")), """")"),"")</f>
        <v/>
      </c>
      <c r="O441" s="33" t="str">
        <f>IF(Account!$F441&lt;&gt;"", DATEVALUE(MID($A441,4,3) &amp; LEFT($A441,3) &amp; RIGHT($A441,4)) + TIMEVALUE($B441), "")</f>
        <v/>
      </c>
      <c r="P441" s="34" t="str">
        <f>IF(Account!$F441&lt;&gt;"", DATEVALUE(MID($C441,4,3) &amp; LEFT($C441,3) &amp; RIGHT($C441,4)), "")</f>
        <v/>
      </c>
      <c r="Q441" s="35" t="str">
        <f t="array" ref="Q441">IF($R441&lt;&gt;"",IFERROR(INDEX(ISIN!$B:$B,MATCH($R441,ISIN!$C:$C,0))),)</f>
        <v/>
      </c>
      <c r="R441" s="36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5" t="str">
        <f t="shared" si="1"/>
        <v/>
      </c>
      <c r="T441" s="37" t="str">
        <f t="shared" si="2"/>
        <v/>
      </c>
      <c r="U441" s="38" t="str">
        <f t="shared" si="3"/>
        <v/>
      </c>
      <c r="V441" s="32" t="str">
        <f t="shared" si="4"/>
        <v/>
      </c>
      <c r="W441" s="39" t="str">
        <f>IFERROR(__xludf.DUMMYFUNCTION(" IF(Account!$F441&lt;&gt;"""", SPLIT(Account!$F441, "" ""), """")"),"")</f>
        <v/>
      </c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</row>
    <row r="442">
      <c r="A442" s="12"/>
      <c r="B442" s="12"/>
      <c r="C442" s="12"/>
      <c r="D442" s="12"/>
      <c r="E442" s="12"/>
      <c r="F442" s="13"/>
      <c r="G442" s="291"/>
      <c r="H442" s="12"/>
      <c r="I442" s="12"/>
      <c r="J442" s="12"/>
      <c r="K442" s="12"/>
      <c r="L442" s="13"/>
      <c r="M442" s="30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2" t="str">
        <f>IFERROR(__xludf.DUMMYFUNCTION("IF(Account!$F442&lt;&gt;"""", VALUE(REGEXREPLACE($I442, ""\,"", ""."")), """")"),"")</f>
        <v/>
      </c>
      <c r="O442" s="33" t="str">
        <f>IF(Account!$F442&lt;&gt;"", DATEVALUE(MID($A442,4,3) &amp; LEFT($A442,3) &amp; RIGHT($A442,4)) + TIMEVALUE($B442), "")</f>
        <v/>
      </c>
      <c r="P442" s="34" t="str">
        <f>IF(Account!$F442&lt;&gt;"", DATEVALUE(MID($C442,4,3) &amp; LEFT($C442,3) &amp; RIGHT($C442,4)), "")</f>
        <v/>
      </c>
      <c r="Q442" s="35" t="str">
        <f t="array" ref="Q442">IF($R442&lt;&gt;"",IFERROR(INDEX(ISIN!$B:$B,MATCH($R442,ISIN!$C:$C,0))),)</f>
        <v/>
      </c>
      <c r="R442" s="36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5" t="str">
        <f t="shared" si="1"/>
        <v/>
      </c>
      <c r="T442" s="37" t="str">
        <f t="shared" si="2"/>
        <v/>
      </c>
      <c r="U442" s="38" t="str">
        <f t="shared" si="3"/>
        <v/>
      </c>
      <c r="V442" s="32" t="str">
        <f t="shared" si="4"/>
        <v/>
      </c>
      <c r="W442" s="39" t="str">
        <f>IFERROR(__xludf.DUMMYFUNCTION(" IF(Account!$F442&lt;&gt;"""", SPLIT(Account!$F442, "" ""), """")"),"")</f>
        <v/>
      </c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</row>
    <row r="443">
      <c r="A443" s="12"/>
      <c r="B443" s="12"/>
      <c r="C443" s="12"/>
      <c r="D443" s="12"/>
      <c r="E443" s="12"/>
      <c r="F443" s="13"/>
      <c r="G443" s="12"/>
      <c r="H443" s="12"/>
      <c r="I443" s="12"/>
      <c r="J443" s="12"/>
      <c r="K443" s="12"/>
      <c r="L443" s="13"/>
      <c r="M443" s="30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2" t="str">
        <f>IFERROR(__xludf.DUMMYFUNCTION("IF(Account!$F443&lt;&gt;"""", VALUE(REGEXREPLACE($I443, ""\,"", ""."")), """")"),"")</f>
        <v/>
      </c>
      <c r="O443" s="33" t="str">
        <f>IF(Account!$F443&lt;&gt;"", DATEVALUE(MID($A443,4,3) &amp; LEFT($A443,3) &amp; RIGHT($A443,4)) + TIMEVALUE($B443), "")</f>
        <v/>
      </c>
      <c r="P443" s="34" t="str">
        <f>IF(Account!$F443&lt;&gt;"", DATEVALUE(MID($C443,4,3) &amp; LEFT($C443,3) &amp; RIGHT($C443,4)), "")</f>
        <v/>
      </c>
      <c r="Q443" s="35" t="str">
        <f t="array" ref="Q443">IF($R443&lt;&gt;"",IFERROR(INDEX(ISIN!$B:$B,MATCH($R443,ISIN!$C:$C,0))),)</f>
        <v/>
      </c>
      <c r="R443" s="36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5" t="str">
        <f t="shared" si="1"/>
        <v/>
      </c>
      <c r="T443" s="37" t="str">
        <f t="shared" si="2"/>
        <v/>
      </c>
      <c r="U443" s="38" t="str">
        <f t="shared" si="3"/>
        <v/>
      </c>
      <c r="V443" s="32" t="str">
        <f t="shared" si="4"/>
        <v/>
      </c>
      <c r="W443" s="39" t="str">
        <f>IFERROR(__xludf.DUMMYFUNCTION(" IF(Account!$F443&lt;&gt;"""", SPLIT(Account!$F443, "" ""), """")"),"")</f>
        <v/>
      </c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</row>
    <row r="444">
      <c r="A444" s="12"/>
      <c r="B444" s="12"/>
      <c r="C444" s="12"/>
      <c r="D444" s="12"/>
      <c r="E444" s="12"/>
      <c r="F444" s="13"/>
      <c r="G444" s="291"/>
      <c r="H444" s="12"/>
      <c r="I444" s="12"/>
      <c r="J444" s="12"/>
      <c r="K444" s="12"/>
      <c r="L444" s="13"/>
      <c r="M444" s="30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2" t="str">
        <f>IFERROR(__xludf.DUMMYFUNCTION("IF(Account!$F444&lt;&gt;"""", VALUE(REGEXREPLACE($I444, ""\,"", ""."")), """")"),"")</f>
        <v/>
      </c>
      <c r="O444" s="33" t="str">
        <f>IF(Account!$F444&lt;&gt;"", DATEVALUE(MID($A444,4,3) &amp; LEFT($A444,3) &amp; RIGHT($A444,4)) + TIMEVALUE($B444), "")</f>
        <v/>
      </c>
      <c r="P444" s="34" t="str">
        <f>IF(Account!$F444&lt;&gt;"", DATEVALUE(MID($C444,4,3) &amp; LEFT($C444,3) &amp; RIGHT($C444,4)), "")</f>
        <v/>
      </c>
      <c r="Q444" s="35" t="str">
        <f t="array" ref="Q444">IF($R444&lt;&gt;"",IFERROR(INDEX(ISIN!$B:$B,MATCH($R444,ISIN!$C:$C,0))),)</f>
        <v/>
      </c>
      <c r="R444" s="36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5" t="str">
        <f t="shared" si="1"/>
        <v/>
      </c>
      <c r="T444" s="37" t="str">
        <f t="shared" si="2"/>
        <v/>
      </c>
      <c r="U444" s="38" t="str">
        <f t="shared" si="3"/>
        <v/>
      </c>
      <c r="V444" s="32" t="str">
        <f t="shared" si="4"/>
        <v/>
      </c>
      <c r="W444" s="39" t="str">
        <f>IFERROR(__xludf.DUMMYFUNCTION(" IF(Account!$F444&lt;&gt;"""", SPLIT(Account!$F444, "" ""), """")"),"")</f>
        <v/>
      </c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</row>
    <row r="445">
      <c r="A445" s="12"/>
      <c r="B445" s="12"/>
      <c r="C445" s="12"/>
      <c r="D445" s="12"/>
      <c r="E445" s="12"/>
      <c r="F445" s="13"/>
      <c r="G445" s="291"/>
      <c r="H445" s="12"/>
      <c r="I445" s="12"/>
      <c r="J445" s="12"/>
      <c r="K445" s="12"/>
      <c r="L445" s="13"/>
      <c r="M445" s="30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2" t="str">
        <f>IFERROR(__xludf.DUMMYFUNCTION("IF(Account!$F445&lt;&gt;"""", VALUE(REGEXREPLACE($I445, ""\,"", ""."")), """")"),"")</f>
        <v/>
      </c>
      <c r="O445" s="33" t="str">
        <f>IF(Account!$F445&lt;&gt;"", DATEVALUE(MID($A445,4,3) &amp; LEFT($A445,3) &amp; RIGHT($A445,4)) + TIMEVALUE($B445), "")</f>
        <v/>
      </c>
      <c r="P445" s="34" t="str">
        <f>IF(Account!$F445&lt;&gt;"", DATEVALUE(MID($C445,4,3) &amp; LEFT($C445,3) &amp; RIGHT($C445,4)), "")</f>
        <v/>
      </c>
      <c r="Q445" s="35" t="str">
        <f t="array" ref="Q445">IF($R445&lt;&gt;"",IFERROR(INDEX(ISIN!$B:$B,MATCH($R445,ISIN!$C:$C,0))),)</f>
        <v/>
      </c>
      <c r="R445" s="36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5" t="str">
        <f t="shared" si="1"/>
        <v/>
      </c>
      <c r="T445" s="37" t="str">
        <f t="shared" si="2"/>
        <v/>
      </c>
      <c r="U445" s="38" t="str">
        <f t="shared" si="3"/>
        <v/>
      </c>
      <c r="V445" s="32" t="str">
        <f t="shared" si="4"/>
        <v/>
      </c>
      <c r="W445" s="39" t="str">
        <f>IFERROR(__xludf.DUMMYFUNCTION(" IF(Account!$F445&lt;&gt;"""", SPLIT(Account!$F445, "" ""), """")"),"")</f>
        <v/>
      </c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</row>
    <row r="446">
      <c r="A446" s="12"/>
      <c r="B446" s="12"/>
      <c r="C446" s="12"/>
      <c r="D446" s="12"/>
      <c r="E446" s="12"/>
      <c r="F446" s="13"/>
      <c r="G446" s="291"/>
      <c r="H446" s="12"/>
      <c r="I446" s="12"/>
      <c r="J446" s="12"/>
      <c r="K446" s="12"/>
      <c r="L446" s="13"/>
      <c r="M446" s="30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2" t="str">
        <f>IFERROR(__xludf.DUMMYFUNCTION("IF(Account!$F446&lt;&gt;"""", VALUE(REGEXREPLACE($I446, ""\,"", ""."")), """")"),"")</f>
        <v/>
      </c>
      <c r="O446" s="33" t="str">
        <f>IF(Account!$F446&lt;&gt;"", DATEVALUE(MID($A446,4,3) &amp; LEFT($A446,3) &amp; RIGHT($A446,4)) + TIMEVALUE($B446), "")</f>
        <v/>
      </c>
      <c r="P446" s="34" t="str">
        <f>IF(Account!$F446&lt;&gt;"", DATEVALUE(MID($C446,4,3) &amp; LEFT($C446,3) &amp; RIGHT($C446,4)), "")</f>
        <v/>
      </c>
      <c r="Q446" s="35" t="str">
        <f t="array" ref="Q446">IF($R446&lt;&gt;"",IFERROR(INDEX(ISIN!$B:$B,MATCH($R446,ISIN!$C:$C,0))),)</f>
        <v/>
      </c>
      <c r="R446" s="36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5" t="str">
        <f t="shared" si="1"/>
        <v/>
      </c>
      <c r="T446" s="37" t="str">
        <f t="shared" si="2"/>
        <v/>
      </c>
      <c r="U446" s="38" t="str">
        <f t="shared" si="3"/>
        <v/>
      </c>
      <c r="V446" s="32" t="str">
        <f t="shared" si="4"/>
        <v/>
      </c>
      <c r="W446" s="39" t="str">
        <f>IFERROR(__xludf.DUMMYFUNCTION(" IF(Account!$F446&lt;&gt;"""", SPLIT(Account!$F446, "" ""), """")"),"")</f>
        <v/>
      </c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</row>
    <row r="447">
      <c r="A447" s="12"/>
      <c r="B447" s="12"/>
      <c r="C447" s="12"/>
      <c r="D447" s="12"/>
      <c r="E447" s="12"/>
      <c r="F447" s="13"/>
      <c r="G447" s="291"/>
      <c r="H447" s="12"/>
      <c r="I447" s="12"/>
      <c r="J447" s="12"/>
      <c r="K447" s="12"/>
      <c r="L447" s="13"/>
      <c r="M447" s="30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2" t="str">
        <f>IFERROR(__xludf.DUMMYFUNCTION("IF(Account!$F447&lt;&gt;"""", VALUE(REGEXREPLACE($I447, ""\,"", ""."")), """")"),"")</f>
        <v/>
      </c>
      <c r="O447" s="33" t="str">
        <f>IF(Account!$F447&lt;&gt;"", DATEVALUE(MID($A447,4,3) &amp; LEFT($A447,3) &amp; RIGHT($A447,4)) + TIMEVALUE($B447), "")</f>
        <v/>
      </c>
      <c r="P447" s="34" t="str">
        <f>IF(Account!$F447&lt;&gt;"", DATEVALUE(MID($C447,4,3) &amp; LEFT($C447,3) &amp; RIGHT($C447,4)), "")</f>
        <v/>
      </c>
      <c r="Q447" s="35" t="str">
        <f t="array" ref="Q447">IF($R447&lt;&gt;"",IFERROR(INDEX(ISIN!$B:$B,MATCH($R447,ISIN!$C:$C,0))),)</f>
        <v/>
      </c>
      <c r="R447" s="36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5" t="str">
        <f t="shared" si="1"/>
        <v/>
      </c>
      <c r="T447" s="37" t="str">
        <f t="shared" si="2"/>
        <v/>
      </c>
      <c r="U447" s="38" t="str">
        <f t="shared" si="3"/>
        <v/>
      </c>
      <c r="V447" s="32" t="str">
        <f t="shared" si="4"/>
        <v/>
      </c>
      <c r="W447" s="39" t="str">
        <f>IFERROR(__xludf.DUMMYFUNCTION(" IF(Account!$F447&lt;&gt;"""", SPLIT(Account!$F447, "" ""), """")"),"")</f>
        <v/>
      </c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</row>
    <row r="448">
      <c r="A448" s="12"/>
      <c r="B448" s="12"/>
      <c r="C448" s="12"/>
      <c r="D448" s="12"/>
      <c r="E448" s="12"/>
      <c r="F448" s="13"/>
      <c r="G448" s="12"/>
      <c r="H448" s="12"/>
      <c r="I448" s="12"/>
      <c r="J448" s="12"/>
      <c r="K448" s="12"/>
      <c r="L448" s="13"/>
      <c r="M448" s="30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2" t="str">
        <f>IFERROR(__xludf.DUMMYFUNCTION("IF(Account!$F448&lt;&gt;"""", VALUE(REGEXREPLACE($I448, ""\,"", ""."")), """")"),"")</f>
        <v/>
      </c>
      <c r="O448" s="33" t="str">
        <f>IF(Account!$F448&lt;&gt;"", DATEVALUE(MID($A448,4,3) &amp; LEFT($A448,3) &amp; RIGHT($A448,4)) + TIMEVALUE($B448), "")</f>
        <v/>
      </c>
      <c r="P448" s="34" t="str">
        <f>IF(Account!$F448&lt;&gt;"", DATEVALUE(MID($C448,4,3) &amp; LEFT($C448,3) &amp; RIGHT($C448,4)), "")</f>
        <v/>
      </c>
      <c r="Q448" s="35" t="str">
        <f t="array" ref="Q448">IF($R448&lt;&gt;"",IFERROR(INDEX(ISIN!$B:$B,MATCH($R448,ISIN!$C:$C,0))),)</f>
        <v/>
      </c>
      <c r="R448" s="36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5" t="str">
        <f t="shared" si="1"/>
        <v/>
      </c>
      <c r="T448" s="37" t="str">
        <f t="shared" si="2"/>
        <v/>
      </c>
      <c r="U448" s="38" t="str">
        <f t="shared" si="3"/>
        <v/>
      </c>
      <c r="V448" s="32" t="str">
        <f t="shared" si="4"/>
        <v/>
      </c>
      <c r="W448" s="39" t="str">
        <f>IFERROR(__xludf.DUMMYFUNCTION(" IF(Account!$F448&lt;&gt;"""", SPLIT(Account!$F448, "" ""), """")"),"")</f>
        <v/>
      </c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</row>
    <row r="449">
      <c r="A449" s="12"/>
      <c r="B449" s="12"/>
      <c r="C449" s="12"/>
      <c r="D449" s="12"/>
      <c r="E449" s="12"/>
      <c r="F449" s="13"/>
      <c r="G449" s="291"/>
      <c r="H449" s="12"/>
      <c r="I449" s="12"/>
      <c r="J449" s="12"/>
      <c r="K449" s="12"/>
      <c r="L449" s="13"/>
      <c r="M449" s="30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2" t="str">
        <f>IFERROR(__xludf.DUMMYFUNCTION("IF(Account!$F449&lt;&gt;"""", VALUE(REGEXREPLACE($I449, ""\,"", ""."")), """")"),"")</f>
        <v/>
      </c>
      <c r="O449" s="33" t="str">
        <f>IF(Account!$F449&lt;&gt;"", DATEVALUE(MID($A449,4,3) &amp; LEFT($A449,3) &amp; RIGHT($A449,4)) + TIMEVALUE($B449), "")</f>
        <v/>
      </c>
      <c r="P449" s="34" t="str">
        <f>IF(Account!$F449&lt;&gt;"", DATEVALUE(MID($C449,4,3) &amp; LEFT($C449,3) &amp; RIGHT($C449,4)), "")</f>
        <v/>
      </c>
      <c r="Q449" s="35" t="str">
        <f t="array" ref="Q449">IF($R449&lt;&gt;"",IFERROR(INDEX(ISIN!$B:$B,MATCH($R449,ISIN!$C:$C,0))),)</f>
        <v/>
      </c>
      <c r="R449" s="36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5" t="str">
        <f t="shared" si="1"/>
        <v/>
      </c>
      <c r="T449" s="37" t="str">
        <f t="shared" si="2"/>
        <v/>
      </c>
      <c r="U449" s="38" t="str">
        <f t="shared" si="3"/>
        <v/>
      </c>
      <c r="V449" s="32" t="str">
        <f t="shared" si="4"/>
        <v/>
      </c>
      <c r="W449" s="39" t="str">
        <f>IFERROR(__xludf.DUMMYFUNCTION(" IF(Account!$F449&lt;&gt;"""", SPLIT(Account!$F449, "" ""), """")"),"")</f>
        <v/>
      </c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</row>
    <row r="450">
      <c r="A450" s="12"/>
      <c r="B450" s="12"/>
      <c r="C450" s="12"/>
      <c r="D450" s="12"/>
      <c r="E450" s="12"/>
      <c r="F450" s="13"/>
      <c r="G450" s="12"/>
      <c r="H450" s="12"/>
      <c r="I450" s="12"/>
      <c r="J450" s="12"/>
      <c r="K450" s="12"/>
      <c r="L450" s="13"/>
      <c r="M450" s="30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2" t="str">
        <f>IFERROR(__xludf.DUMMYFUNCTION("IF(Account!$F450&lt;&gt;"""", VALUE(REGEXREPLACE($I450, ""\,"", ""."")), """")"),"")</f>
        <v/>
      </c>
      <c r="O450" s="33" t="str">
        <f>IF(Account!$F450&lt;&gt;"", DATEVALUE(MID($A450,4,3) &amp; LEFT($A450,3) &amp; RIGHT($A450,4)) + TIMEVALUE($B450), "")</f>
        <v/>
      </c>
      <c r="P450" s="34" t="str">
        <f>IF(Account!$F450&lt;&gt;"", DATEVALUE(MID($C450,4,3) &amp; LEFT($C450,3) &amp; RIGHT($C450,4)), "")</f>
        <v/>
      </c>
      <c r="Q450" s="35" t="str">
        <f t="array" ref="Q450">IF($R450&lt;&gt;"",IFERROR(INDEX(ISIN!$B:$B,MATCH($R450,ISIN!$C:$C,0))),)</f>
        <v/>
      </c>
      <c r="R450" s="36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5" t="str">
        <f t="shared" si="1"/>
        <v/>
      </c>
      <c r="T450" s="37" t="str">
        <f t="shared" si="2"/>
        <v/>
      </c>
      <c r="U450" s="38" t="str">
        <f t="shared" si="3"/>
        <v/>
      </c>
      <c r="V450" s="32" t="str">
        <f t="shared" si="4"/>
        <v/>
      </c>
      <c r="W450" s="39" t="str">
        <f>IFERROR(__xludf.DUMMYFUNCTION(" IF(Account!$F450&lt;&gt;"""", SPLIT(Account!$F450, "" ""), """")"),"")</f>
        <v/>
      </c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</row>
    <row r="451">
      <c r="A451" s="12"/>
      <c r="B451" s="12"/>
      <c r="C451" s="12"/>
      <c r="D451" s="12"/>
      <c r="E451" s="12"/>
      <c r="F451" s="13"/>
      <c r="G451" s="291"/>
      <c r="H451" s="12"/>
      <c r="I451" s="12"/>
      <c r="J451" s="12"/>
      <c r="K451" s="12"/>
      <c r="L451" s="13"/>
      <c r="M451" s="30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2" t="str">
        <f>IFERROR(__xludf.DUMMYFUNCTION("IF(Account!$F451&lt;&gt;"""", VALUE(REGEXREPLACE($I451, ""\,"", ""."")), """")"),"")</f>
        <v/>
      </c>
      <c r="O451" s="33" t="str">
        <f>IF(Account!$F451&lt;&gt;"", DATEVALUE(MID($A451,4,3) &amp; LEFT($A451,3) &amp; RIGHT($A451,4)) + TIMEVALUE($B451), "")</f>
        <v/>
      </c>
      <c r="P451" s="34" t="str">
        <f>IF(Account!$F451&lt;&gt;"", DATEVALUE(MID($C451,4,3) &amp; LEFT($C451,3) &amp; RIGHT($C451,4)), "")</f>
        <v/>
      </c>
      <c r="Q451" s="35" t="str">
        <f t="array" ref="Q451">IF($R451&lt;&gt;"",IFERROR(INDEX(ISIN!$B:$B,MATCH($R451,ISIN!$C:$C,0))),)</f>
        <v/>
      </c>
      <c r="R451" s="36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5" t="str">
        <f t="shared" si="1"/>
        <v/>
      </c>
      <c r="T451" s="37" t="str">
        <f t="shared" si="2"/>
        <v/>
      </c>
      <c r="U451" s="38" t="str">
        <f t="shared" si="3"/>
        <v/>
      </c>
      <c r="V451" s="32" t="str">
        <f t="shared" si="4"/>
        <v/>
      </c>
      <c r="W451" s="39" t="str">
        <f>IFERROR(__xludf.DUMMYFUNCTION(" IF(Account!$F451&lt;&gt;"""", SPLIT(Account!$F451, "" ""), """")"),"")</f>
        <v/>
      </c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</row>
    <row r="452">
      <c r="A452" s="12"/>
      <c r="B452" s="12"/>
      <c r="C452" s="12"/>
      <c r="D452" s="12"/>
      <c r="E452" s="12"/>
      <c r="F452" s="13"/>
      <c r="G452" s="12"/>
      <c r="H452" s="12"/>
      <c r="I452" s="12"/>
      <c r="J452" s="12"/>
      <c r="K452" s="12"/>
      <c r="L452" s="13"/>
      <c r="M452" s="30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2" t="str">
        <f>IFERROR(__xludf.DUMMYFUNCTION("IF(Account!$F452&lt;&gt;"""", VALUE(REGEXREPLACE($I452, ""\,"", ""."")), """")"),"")</f>
        <v/>
      </c>
      <c r="O452" s="33" t="str">
        <f>IF(Account!$F452&lt;&gt;"", DATEVALUE(MID($A452,4,3) &amp; LEFT($A452,3) &amp; RIGHT($A452,4)) + TIMEVALUE($B452), "")</f>
        <v/>
      </c>
      <c r="P452" s="34" t="str">
        <f>IF(Account!$F452&lt;&gt;"", DATEVALUE(MID($C452,4,3) &amp; LEFT($C452,3) &amp; RIGHT($C452,4)), "")</f>
        <v/>
      </c>
      <c r="Q452" s="35" t="str">
        <f t="array" ref="Q452">IF($R452&lt;&gt;"",IFERROR(INDEX(ISIN!$B:$B,MATCH($R452,ISIN!$C:$C,0))),)</f>
        <v/>
      </c>
      <c r="R452" s="36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5" t="str">
        <f t="shared" si="1"/>
        <v/>
      </c>
      <c r="T452" s="37" t="str">
        <f t="shared" si="2"/>
        <v/>
      </c>
      <c r="U452" s="38" t="str">
        <f t="shared" si="3"/>
        <v/>
      </c>
      <c r="V452" s="32" t="str">
        <f t="shared" si="4"/>
        <v/>
      </c>
      <c r="W452" s="39" t="str">
        <f>IFERROR(__xludf.DUMMYFUNCTION(" IF(Account!$F452&lt;&gt;"""", SPLIT(Account!$F452, "" ""), """")"),"")</f>
        <v/>
      </c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</row>
    <row r="453">
      <c r="A453" s="12"/>
      <c r="B453" s="12"/>
      <c r="C453" s="12"/>
      <c r="D453" s="12"/>
      <c r="E453" s="12"/>
      <c r="F453" s="13"/>
      <c r="G453" s="291"/>
      <c r="H453" s="12"/>
      <c r="I453" s="12"/>
      <c r="J453" s="12"/>
      <c r="K453" s="12"/>
      <c r="L453" s="13"/>
      <c r="M453" s="30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2" t="str">
        <f>IFERROR(__xludf.DUMMYFUNCTION("IF(Account!$F453&lt;&gt;"""", VALUE(REGEXREPLACE($I453, ""\,"", ""."")), """")"),"")</f>
        <v/>
      </c>
      <c r="O453" s="33" t="str">
        <f>IF(Account!$F453&lt;&gt;"", DATEVALUE(MID($A453,4,3) &amp; LEFT($A453,3) &amp; RIGHT($A453,4)) + TIMEVALUE($B453), "")</f>
        <v/>
      </c>
      <c r="P453" s="34" t="str">
        <f>IF(Account!$F453&lt;&gt;"", DATEVALUE(MID($C453,4,3) &amp; LEFT($C453,3) &amp; RIGHT($C453,4)), "")</f>
        <v/>
      </c>
      <c r="Q453" s="35" t="str">
        <f t="array" ref="Q453">IF($R453&lt;&gt;"",IFERROR(INDEX(ISIN!$B:$B,MATCH($R453,ISIN!$C:$C,0))),)</f>
        <v/>
      </c>
      <c r="R453" s="36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5" t="str">
        <f t="shared" si="1"/>
        <v/>
      </c>
      <c r="T453" s="37" t="str">
        <f t="shared" si="2"/>
        <v/>
      </c>
      <c r="U453" s="38" t="str">
        <f t="shared" si="3"/>
        <v/>
      </c>
      <c r="V453" s="32" t="str">
        <f t="shared" si="4"/>
        <v/>
      </c>
      <c r="W453" s="39" t="str">
        <f>IFERROR(__xludf.DUMMYFUNCTION(" IF(Account!$F453&lt;&gt;"""", SPLIT(Account!$F453, "" ""), """")"),"")</f>
        <v/>
      </c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</row>
    <row r="454">
      <c r="A454" s="12"/>
      <c r="B454" s="12"/>
      <c r="C454" s="12"/>
      <c r="D454" s="12"/>
      <c r="E454" s="12"/>
      <c r="F454" s="13"/>
      <c r="G454" s="291"/>
      <c r="H454" s="12"/>
      <c r="I454" s="12"/>
      <c r="J454" s="12"/>
      <c r="K454" s="12"/>
      <c r="L454" s="13"/>
      <c r="M454" s="30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2" t="str">
        <f>IFERROR(__xludf.DUMMYFUNCTION("IF(Account!$F454&lt;&gt;"""", VALUE(REGEXREPLACE($I454, ""\,"", ""."")), """")"),"")</f>
        <v/>
      </c>
      <c r="O454" s="33" t="str">
        <f>IF(Account!$F454&lt;&gt;"", DATEVALUE(MID($A454,4,3) &amp; LEFT($A454,3) &amp; RIGHT($A454,4)) + TIMEVALUE($B454), "")</f>
        <v/>
      </c>
      <c r="P454" s="34" t="str">
        <f>IF(Account!$F454&lt;&gt;"", DATEVALUE(MID($C454,4,3) &amp; LEFT($C454,3) &amp; RIGHT($C454,4)), "")</f>
        <v/>
      </c>
      <c r="Q454" s="35" t="str">
        <f t="array" ref="Q454">IF($R454&lt;&gt;"",IFERROR(INDEX(ISIN!$B:$B,MATCH($R454,ISIN!$C:$C,0))),)</f>
        <v/>
      </c>
      <c r="R454" s="36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5" t="str">
        <f t="shared" si="1"/>
        <v/>
      </c>
      <c r="T454" s="37" t="str">
        <f t="shared" si="2"/>
        <v/>
      </c>
      <c r="U454" s="38" t="str">
        <f t="shared" si="3"/>
        <v/>
      </c>
      <c r="V454" s="32" t="str">
        <f t="shared" si="4"/>
        <v/>
      </c>
      <c r="W454" s="39" t="str">
        <f>IFERROR(__xludf.DUMMYFUNCTION(" IF(Account!$F454&lt;&gt;"""", SPLIT(Account!$F454, "" ""), """")"),"")</f>
        <v/>
      </c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</row>
    <row r="455">
      <c r="A455" s="12"/>
      <c r="B455" s="12"/>
      <c r="C455" s="12"/>
      <c r="D455" s="12"/>
      <c r="E455" s="12"/>
      <c r="F455" s="13"/>
      <c r="G455" s="291"/>
      <c r="H455" s="12"/>
      <c r="I455" s="12"/>
      <c r="J455" s="12"/>
      <c r="K455" s="12"/>
      <c r="L455" s="13"/>
      <c r="M455" s="30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2" t="str">
        <f>IFERROR(__xludf.DUMMYFUNCTION("IF(Account!$F455&lt;&gt;"""", VALUE(REGEXREPLACE($I455, ""\,"", ""."")), """")"),"")</f>
        <v/>
      </c>
      <c r="O455" s="33" t="str">
        <f>IF(Account!$F455&lt;&gt;"", DATEVALUE(MID($A455,4,3) &amp; LEFT($A455,3) &amp; RIGHT($A455,4)) + TIMEVALUE($B455), "")</f>
        <v/>
      </c>
      <c r="P455" s="34" t="str">
        <f>IF(Account!$F455&lt;&gt;"", DATEVALUE(MID($C455,4,3) &amp; LEFT($C455,3) &amp; RIGHT($C455,4)), "")</f>
        <v/>
      </c>
      <c r="Q455" s="35" t="str">
        <f t="array" ref="Q455">IF($R455&lt;&gt;"",IFERROR(INDEX(ISIN!$B:$B,MATCH($R455,ISIN!$C:$C,0))),)</f>
        <v/>
      </c>
      <c r="R455" s="36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5" t="str">
        <f t="shared" si="1"/>
        <v/>
      </c>
      <c r="T455" s="37" t="str">
        <f t="shared" si="2"/>
        <v/>
      </c>
      <c r="U455" s="38" t="str">
        <f t="shared" si="3"/>
        <v/>
      </c>
      <c r="V455" s="32" t="str">
        <f t="shared" si="4"/>
        <v/>
      </c>
      <c r="W455" s="39" t="str">
        <f>IFERROR(__xludf.DUMMYFUNCTION(" IF(Account!$F455&lt;&gt;"""", SPLIT(Account!$F455, "" ""), """")"),"")</f>
        <v/>
      </c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</row>
    <row r="456">
      <c r="A456" s="12"/>
      <c r="B456" s="12"/>
      <c r="C456" s="12"/>
      <c r="D456" s="12"/>
      <c r="E456" s="12"/>
      <c r="F456" s="13"/>
      <c r="G456" s="12"/>
      <c r="H456" s="12"/>
      <c r="I456" s="12"/>
      <c r="J456" s="12"/>
      <c r="K456" s="12"/>
      <c r="L456" s="13"/>
      <c r="M456" s="30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2" t="str">
        <f>IFERROR(__xludf.DUMMYFUNCTION("IF(Account!$F456&lt;&gt;"""", VALUE(REGEXREPLACE($I456, ""\,"", ""."")), """")"),"")</f>
        <v/>
      </c>
      <c r="O456" s="33" t="str">
        <f>IF(Account!$F456&lt;&gt;"", DATEVALUE(MID($A456,4,3) &amp; LEFT($A456,3) &amp; RIGHT($A456,4)) + TIMEVALUE($B456), "")</f>
        <v/>
      </c>
      <c r="P456" s="34" t="str">
        <f>IF(Account!$F456&lt;&gt;"", DATEVALUE(MID($C456,4,3) &amp; LEFT($C456,3) &amp; RIGHT($C456,4)), "")</f>
        <v/>
      </c>
      <c r="Q456" s="35" t="str">
        <f t="array" ref="Q456">IF($R456&lt;&gt;"",IFERROR(INDEX(ISIN!$B:$B,MATCH($R456,ISIN!$C:$C,0))),)</f>
        <v/>
      </c>
      <c r="R456" s="36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5" t="str">
        <f t="shared" si="1"/>
        <v/>
      </c>
      <c r="T456" s="37" t="str">
        <f t="shared" si="2"/>
        <v/>
      </c>
      <c r="U456" s="38" t="str">
        <f t="shared" si="3"/>
        <v/>
      </c>
      <c r="V456" s="32" t="str">
        <f t="shared" si="4"/>
        <v/>
      </c>
      <c r="W456" s="39" t="str">
        <f>IFERROR(__xludf.DUMMYFUNCTION(" IF(Account!$F456&lt;&gt;"""", SPLIT(Account!$F456, "" ""), """")"),"")</f>
        <v/>
      </c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</row>
    <row r="457">
      <c r="A457" s="12"/>
      <c r="B457" s="12"/>
      <c r="C457" s="12"/>
      <c r="D457" s="12"/>
      <c r="E457" s="12"/>
      <c r="F457" s="13"/>
      <c r="G457" s="12"/>
      <c r="H457" s="12"/>
      <c r="I457" s="12"/>
      <c r="J457" s="12"/>
      <c r="K457" s="12"/>
      <c r="L457" s="13"/>
      <c r="M457" s="30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2" t="str">
        <f>IFERROR(__xludf.DUMMYFUNCTION("IF(Account!$F457&lt;&gt;"""", VALUE(REGEXREPLACE($I457, ""\,"", ""."")), """")"),"")</f>
        <v/>
      </c>
      <c r="O457" s="33" t="str">
        <f>IF(Account!$F457&lt;&gt;"", DATEVALUE(MID($A457,4,3) &amp; LEFT($A457,3) &amp; RIGHT($A457,4)) + TIMEVALUE($B457), "")</f>
        <v/>
      </c>
      <c r="P457" s="34" t="str">
        <f>IF(Account!$F457&lt;&gt;"", DATEVALUE(MID($C457,4,3) &amp; LEFT($C457,3) &amp; RIGHT($C457,4)), "")</f>
        <v/>
      </c>
      <c r="Q457" s="35" t="str">
        <f t="array" ref="Q457">IF($R457&lt;&gt;"",IFERROR(INDEX(ISIN!$B:$B,MATCH($R457,ISIN!$C:$C,0))),)</f>
        <v/>
      </c>
      <c r="R457" s="36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5" t="str">
        <f t="shared" si="1"/>
        <v/>
      </c>
      <c r="T457" s="37" t="str">
        <f t="shared" si="2"/>
        <v/>
      </c>
      <c r="U457" s="38" t="str">
        <f t="shared" si="3"/>
        <v/>
      </c>
      <c r="V457" s="32" t="str">
        <f t="shared" si="4"/>
        <v/>
      </c>
      <c r="W457" s="39" t="str">
        <f>IFERROR(__xludf.DUMMYFUNCTION(" IF(Account!$F457&lt;&gt;"""", SPLIT(Account!$F457, "" ""), """")"),"")</f>
        <v/>
      </c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</row>
    <row r="458">
      <c r="A458" s="12"/>
      <c r="B458" s="12"/>
      <c r="C458" s="12"/>
      <c r="D458" s="12"/>
      <c r="E458" s="12"/>
      <c r="F458" s="13"/>
      <c r="G458" s="291"/>
      <c r="H458" s="12"/>
      <c r="I458" s="12"/>
      <c r="J458" s="12"/>
      <c r="K458" s="12"/>
      <c r="L458" s="13"/>
      <c r="M458" s="30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2" t="str">
        <f>IFERROR(__xludf.DUMMYFUNCTION("IF(Account!$F458&lt;&gt;"""", VALUE(REGEXREPLACE($I458, ""\,"", ""."")), """")"),"")</f>
        <v/>
      </c>
      <c r="O458" s="33" t="str">
        <f>IF(Account!$F458&lt;&gt;"", DATEVALUE(MID($A458,4,3) &amp; LEFT($A458,3) &amp; RIGHT($A458,4)) + TIMEVALUE($B458), "")</f>
        <v/>
      </c>
      <c r="P458" s="34" t="str">
        <f>IF(Account!$F458&lt;&gt;"", DATEVALUE(MID($C458,4,3) &amp; LEFT($C458,3) &amp; RIGHT($C458,4)), "")</f>
        <v/>
      </c>
      <c r="Q458" s="35" t="str">
        <f t="array" ref="Q458">IF($R458&lt;&gt;"",IFERROR(INDEX(ISIN!$B:$B,MATCH($R458,ISIN!$C:$C,0))),)</f>
        <v/>
      </c>
      <c r="R458" s="36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5" t="str">
        <f t="shared" si="1"/>
        <v/>
      </c>
      <c r="T458" s="37" t="str">
        <f t="shared" si="2"/>
        <v/>
      </c>
      <c r="U458" s="38" t="str">
        <f t="shared" si="3"/>
        <v/>
      </c>
      <c r="V458" s="32" t="str">
        <f t="shared" si="4"/>
        <v/>
      </c>
      <c r="W458" s="39" t="str">
        <f>IFERROR(__xludf.DUMMYFUNCTION(" IF(Account!$F458&lt;&gt;"""", SPLIT(Account!$F458, "" ""), """")"),"")</f>
        <v/>
      </c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</row>
    <row r="459">
      <c r="A459" s="12"/>
      <c r="B459" s="12"/>
      <c r="C459" s="12"/>
      <c r="D459" s="12"/>
      <c r="E459" s="12"/>
      <c r="F459" s="13"/>
      <c r="G459" s="12"/>
      <c r="H459" s="12"/>
      <c r="I459" s="12"/>
      <c r="J459" s="12"/>
      <c r="K459" s="12"/>
      <c r="L459" s="13"/>
      <c r="M459" s="30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2" t="str">
        <f>IFERROR(__xludf.DUMMYFUNCTION("IF(Account!$F459&lt;&gt;"""", VALUE(REGEXREPLACE($I459, ""\,"", ""."")), """")"),"")</f>
        <v/>
      </c>
      <c r="O459" s="33" t="str">
        <f>IF(Account!$F459&lt;&gt;"", DATEVALUE(MID($A459,4,3) &amp; LEFT($A459,3) &amp; RIGHT($A459,4)) + TIMEVALUE($B459), "")</f>
        <v/>
      </c>
      <c r="P459" s="34" t="str">
        <f>IF(Account!$F459&lt;&gt;"", DATEVALUE(MID($C459,4,3) &amp; LEFT($C459,3) &amp; RIGHT($C459,4)), "")</f>
        <v/>
      </c>
      <c r="Q459" s="35" t="str">
        <f t="array" ref="Q459">IF($R459&lt;&gt;"",IFERROR(INDEX(ISIN!$B:$B,MATCH($R459,ISIN!$C:$C,0))),)</f>
        <v/>
      </c>
      <c r="R459" s="36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5" t="str">
        <f t="shared" si="1"/>
        <v/>
      </c>
      <c r="T459" s="37" t="str">
        <f t="shared" si="2"/>
        <v/>
      </c>
      <c r="U459" s="38" t="str">
        <f t="shared" si="3"/>
        <v/>
      </c>
      <c r="V459" s="32" t="str">
        <f t="shared" si="4"/>
        <v/>
      </c>
      <c r="W459" s="39" t="str">
        <f>IFERROR(__xludf.DUMMYFUNCTION(" IF(Account!$F459&lt;&gt;"""", SPLIT(Account!$F459, "" ""), """")"),"")</f>
        <v/>
      </c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</row>
    <row r="460">
      <c r="A460" s="12"/>
      <c r="B460" s="12"/>
      <c r="C460" s="12"/>
      <c r="D460" s="12"/>
      <c r="E460" s="12"/>
      <c r="F460" s="13"/>
      <c r="G460" s="291"/>
      <c r="H460" s="12"/>
      <c r="I460" s="12"/>
      <c r="J460" s="12"/>
      <c r="K460" s="12"/>
      <c r="L460" s="13"/>
      <c r="M460" s="30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2" t="str">
        <f>IFERROR(__xludf.DUMMYFUNCTION("IF(Account!$F460&lt;&gt;"""", VALUE(REGEXREPLACE($I460, ""\,"", ""."")), """")"),"")</f>
        <v/>
      </c>
      <c r="O460" s="33" t="str">
        <f>IF(Account!$F460&lt;&gt;"", DATEVALUE(MID($A460,4,3) &amp; LEFT($A460,3) &amp; RIGHT($A460,4)) + TIMEVALUE($B460), "")</f>
        <v/>
      </c>
      <c r="P460" s="34" t="str">
        <f>IF(Account!$F460&lt;&gt;"", DATEVALUE(MID($C460,4,3) &amp; LEFT($C460,3) &amp; RIGHT($C460,4)), "")</f>
        <v/>
      </c>
      <c r="Q460" s="35" t="str">
        <f t="array" ref="Q460">IF($R460&lt;&gt;"",IFERROR(INDEX(ISIN!$B:$B,MATCH($R460,ISIN!$C:$C,0))),)</f>
        <v/>
      </c>
      <c r="R460" s="36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5" t="str">
        <f t="shared" si="1"/>
        <v/>
      </c>
      <c r="T460" s="37" t="str">
        <f t="shared" si="2"/>
        <v/>
      </c>
      <c r="U460" s="38" t="str">
        <f t="shared" si="3"/>
        <v/>
      </c>
      <c r="V460" s="32" t="str">
        <f t="shared" si="4"/>
        <v/>
      </c>
      <c r="W460" s="39" t="str">
        <f>IFERROR(__xludf.DUMMYFUNCTION(" IF(Account!$F460&lt;&gt;"""", SPLIT(Account!$F460, "" ""), """")"),"")</f>
        <v/>
      </c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</row>
    <row r="461">
      <c r="A461" s="12"/>
      <c r="B461" s="12"/>
      <c r="C461" s="12"/>
      <c r="D461" s="12"/>
      <c r="E461" s="12"/>
      <c r="F461" s="13"/>
      <c r="G461" s="291"/>
      <c r="H461" s="12"/>
      <c r="I461" s="12"/>
      <c r="J461" s="12"/>
      <c r="K461" s="12"/>
      <c r="L461" s="13"/>
      <c r="M461" s="30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2" t="str">
        <f>IFERROR(__xludf.DUMMYFUNCTION("IF(Account!$F461&lt;&gt;"""", VALUE(REGEXREPLACE($I461, ""\,"", ""."")), """")"),"")</f>
        <v/>
      </c>
      <c r="O461" s="33" t="str">
        <f>IF(Account!$F461&lt;&gt;"", DATEVALUE(MID($A461,4,3) &amp; LEFT($A461,3) &amp; RIGHT($A461,4)) + TIMEVALUE($B461), "")</f>
        <v/>
      </c>
      <c r="P461" s="34" t="str">
        <f>IF(Account!$F461&lt;&gt;"", DATEVALUE(MID($C461,4,3) &amp; LEFT($C461,3) &amp; RIGHT($C461,4)), "")</f>
        <v/>
      </c>
      <c r="Q461" s="35" t="str">
        <f t="array" ref="Q461">IF($R461&lt;&gt;"",IFERROR(INDEX(ISIN!$B:$B,MATCH($R461,ISIN!$C:$C,0))),)</f>
        <v/>
      </c>
      <c r="R461" s="36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5" t="str">
        <f t="shared" si="1"/>
        <v/>
      </c>
      <c r="T461" s="37" t="str">
        <f t="shared" si="2"/>
        <v/>
      </c>
      <c r="U461" s="38" t="str">
        <f t="shared" si="3"/>
        <v/>
      </c>
      <c r="V461" s="32" t="str">
        <f t="shared" si="4"/>
        <v/>
      </c>
      <c r="W461" s="39" t="str">
        <f>IFERROR(__xludf.DUMMYFUNCTION(" IF(Account!$F461&lt;&gt;"""", SPLIT(Account!$F461, "" ""), """")"),"")</f>
        <v/>
      </c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</row>
    <row r="462">
      <c r="A462" s="12"/>
      <c r="B462" s="12"/>
      <c r="C462" s="12"/>
      <c r="D462" s="12"/>
      <c r="E462" s="12"/>
      <c r="F462" s="13"/>
      <c r="G462" s="291"/>
      <c r="H462" s="12"/>
      <c r="I462" s="12"/>
      <c r="J462" s="12"/>
      <c r="K462" s="12"/>
      <c r="L462" s="13"/>
      <c r="M462" s="30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2" t="str">
        <f>IFERROR(__xludf.DUMMYFUNCTION("IF(Account!$F462&lt;&gt;"""", VALUE(REGEXREPLACE($I462, ""\,"", ""."")), """")"),"")</f>
        <v/>
      </c>
      <c r="O462" s="33" t="str">
        <f>IF(Account!$F462&lt;&gt;"", DATEVALUE(MID($A462,4,3) &amp; LEFT($A462,3) &amp; RIGHT($A462,4)) + TIMEVALUE($B462), "")</f>
        <v/>
      </c>
      <c r="P462" s="34" t="str">
        <f>IF(Account!$F462&lt;&gt;"", DATEVALUE(MID($C462,4,3) &amp; LEFT($C462,3) &amp; RIGHT($C462,4)), "")</f>
        <v/>
      </c>
      <c r="Q462" s="35" t="str">
        <f t="array" ref="Q462">IF($R462&lt;&gt;"",IFERROR(INDEX(ISIN!$B:$B,MATCH($R462,ISIN!$C:$C,0))),)</f>
        <v/>
      </c>
      <c r="R462" s="36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5" t="str">
        <f t="shared" si="1"/>
        <v/>
      </c>
      <c r="T462" s="37" t="str">
        <f t="shared" si="2"/>
        <v/>
      </c>
      <c r="U462" s="38" t="str">
        <f t="shared" si="3"/>
        <v/>
      </c>
      <c r="V462" s="32" t="str">
        <f t="shared" si="4"/>
        <v/>
      </c>
      <c r="W462" s="39" t="str">
        <f>IFERROR(__xludf.DUMMYFUNCTION(" IF(Account!$F462&lt;&gt;"""", SPLIT(Account!$F462, "" ""), """")"),"")</f>
        <v/>
      </c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</row>
    <row r="463">
      <c r="A463" s="12"/>
      <c r="B463" s="12"/>
      <c r="C463" s="12"/>
      <c r="D463" s="12"/>
      <c r="E463" s="12"/>
      <c r="F463" s="13"/>
      <c r="G463" s="12"/>
      <c r="H463" s="12"/>
      <c r="I463" s="12"/>
      <c r="J463" s="12"/>
      <c r="K463" s="12"/>
      <c r="L463" s="13"/>
      <c r="M463" s="30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2" t="str">
        <f>IFERROR(__xludf.DUMMYFUNCTION("IF(Account!$F463&lt;&gt;"""", VALUE(REGEXREPLACE($I463, ""\,"", ""."")), """")"),"")</f>
        <v/>
      </c>
      <c r="O463" s="33" t="str">
        <f>IF(Account!$F463&lt;&gt;"", DATEVALUE(MID($A463,4,3) &amp; LEFT($A463,3) &amp; RIGHT($A463,4)) + TIMEVALUE($B463), "")</f>
        <v/>
      </c>
      <c r="P463" s="34" t="str">
        <f>IF(Account!$F463&lt;&gt;"", DATEVALUE(MID($C463,4,3) &amp; LEFT($C463,3) &amp; RIGHT($C463,4)), "")</f>
        <v/>
      </c>
      <c r="Q463" s="35" t="str">
        <f t="array" ref="Q463">IF($R463&lt;&gt;"",IFERROR(INDEX(ISIN!$B:$B,MATCH($R463,ISIN!$C:$C,0))),)</f>
        <v/>
      </c>
      <c r="R463" s="36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5" t="str">
        <f t="shared" si="1"/>
        <v/>
      </c>
      <c r="T463" s="37" t="str">
        <f t="shared" si="2"/>
        <v/>
      </c>
      <c r="U463" s="38" t="str">
        <f t="shared" si="3"/>
        <v/>
      </c>
      <c r="V463" s="32" t="str">
        <f t="shared" si="4"/>
        <v/>
      </c>
      <c r="W463" s="39" t="str">
        <f>IFERROR(__xludf.DUMMYFUNCTION(" IF(Account!$F463&lt;&gt;"""", SPLIT(Account!$F463, "" ""), """")"),"")</f>
        <v/>
      </c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</row>
    <row r="464">
      <c r="A464" s="12"/>
      <c r="B464" s="12"/>
      <c r="C464" s="12"/>
      <c r="D464" s="12"/>
      <c r="E464" s="12"/>
      <c r="F464" s="13"/>
      <c r="G464" s="291"/>
      <c r="H464" s="12"/>
      <c r="I464" s="12"/>
      <c r="J464" s="12"/>
      <c r="K464" s="12"/>
      <c r="L464" s="13"/>
      <c r="M464" s="30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2" t="str">
        <f>IFERROR(__xludf.DUMMYFUNCTION("IF(Account!$F464&lt;&gt;"""", VALUE(REGEXREPLACE($I464, ""\,"", ""."")), """")"),"")</f>
        <v/>
      </c>
      <c r="O464" s="33" t="str">
        <f>IF(Account!$F464&lt;&gt;"", DATEVALUE(MID($A464,4,3) &amp; LEFT($A464,3) &amp; RIGHT($A464,4)) + TIMEVALUE($B464), "")</f>
        <v/>
      </c>
      <c r="P464" s="34" t="str">
        <f>IF(Account!$F464&lt;&gt;"", DATEVALUE(MID($C464,4,3) &amp; LEFT($C464,3) &amp; RIGHT($C464,4)), "")</f>
        <v/>
      </c>
      <c r="Q464" s="35" t="str">
        <f t="array" ref="Q464">IF($R464&lt;&gt;"",IFERROR(INDEX(ISIN!$B:$B,MATCH($R464,ISIN!$C:$C,0))),)</f>
        <v/>
      </c>
      <c r="R464" s="36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5" t="str">
        <f t="shared" si="1"/>
        <v/>
      </c>
      <c r="T464" s="37" t="str">
        <f t="shared" si="2"/>
        <v/>
      </c>
      <c r="U464" s="38" t="str">
        <f t="shared" si="3"/>
        <v/>
      </c>
      <c r="V464" s="32" t="str">
        <f t="shared" si="4"/>
        <v/>
      </c>
      <c r="W464" s="39" t="str">
        <f>IFERROR(__xludf.DUMMYFUNCTION(" IF(Account!$F464&lt;&gt;"""", SPLIT(Account!$F464, "" ""), """")"),"")</f>
        <v/>
      </c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</row>
    <row r="465">
      <c r="A465" s="12"/>
      <c r="B465" s="12"/>
      <c r="C465" s="12"/>
      <c r="D465" s="12"/>
      <c r="E465" s="12"/>
      <c r="F465" s="13"/>
      <c r="G465" s="12"/>
      <c r="H465" s="12"/>
      <c r="I465" s="12"/>
      <c r="J465" s="12"/>
      <c r="K465" s="12"/>
      <c r="L465" s="13"/>
      <c r="M465" s="30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2" t="str">
        <f>IFERROR(__xludf.DUMMYFUNCTION("IF(Account!$F465&lt;&gt;"""", VALUE(REGEXREPLACE($I465, ""\,"", ""."")), """")"),"")</f>
        <v/>
      </c>
      <c r="O465" s="33" t="str">
        <f>IF(Account!$F465&lt;&gt;"", DATEVALUE(MID($A465,4,3) &amp; LEFT($A465,3) &amp; RIGHT($A465,4)) + TIMEVALUE($B465), "")</f>
        <v/>
      </c>
      <c r="P465" s="34" t="str">
        <f>IF(Account!$F465&lt;&gt;"", DATEVALUE(MID($C465,4,3) &amp; LEFT($C465,3) &amp; RIGHT($C465,4)), "")</f>
        <v/>
      </c>
      <c r="Q465" s="35" t="str">
        <f t="array" ref="Q465">IF($R465&lt;&gt;"",IFERROR(INDEX(ISIN!$B:$B,MATCH($R465,ISIN!$C:$C,0))),)</f>
        <v/>
      </c>
      <c r="R465" s="36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5" t="str">
        <f t="shared" si="1"/>
        <v/>
      </c>
      <c r="T465" s="37" t="str">
        <f t="shared" si="2"/>
        <v/>
      </c>
      <c r="U465" s="38" t="str">
        <f t="shared" si="3"/>
        <v/>
      </c>
      <c r="V465" s="32" t="str">
        <f t="shared" si="4"/>
        <v/>
      </c>
      <c r="W465" s="39" t="str">
        <f>IFERROR(__xludf.DUMMYFUNCTION(" IF(Account!$F465&lt;&gt;"""", SPLIT(Account!$F465, "" ""), """")"),"")</f>
        <v/>
      </c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</row>
    <row r="466">
      <c r="A466" s="12"/>
      <c r="B466" s="12"/>
      <c r="C466" s="12"/>
      <c r="D466" s="12"/>
      <c r="E466" s="12"/>
      <c r="F466" s="13"/>
      <c r="G466" s="291"/>
      <c r="H466" s="12"/>
      <c r="I466" s="12"/>
      <c r="J466" s="12"/>
      <c r="K466" s="12"/>
      <c r="L466" s="13"/>
      <c r="M466" s="30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2" t="str">
        <f>IFERROR(__xludf.DUMMYFUNCTION("IF(Account!$F466&lt;&gt;"""", VALUE(REGEXREPLACE($I466, ""\,"", ""."")), """")"),"")</f>
        <v/>
      </c>
      <c r="O466" s="33" t="str">
        <f>IF(Account!$F466&lt;&gt;"", DATEVALUE(MID($A466,4,3) &amp; LEFT($A466,3) &amp; RIGHT($A466,4)) + TIMEVALUE($B466), "")</f>
        <v/>
      </c>
      <c r="P466" s="34" t="str">
        <f>IF(Account!$F466&lt;&gt;"", DATEVALUE(MID($C466,4,3) &amp; LEFT($C466,3) &amp; RIGHT($C466,4)), "")</f>
        <v/>
      </c>
      <c r="Q466" s="35" t="str">
        <f t="array" ref="Q466">IF($R466&lt;&gt;"",IFERROR(INDEX(ISIN!$B:$B,MATCH($R466,ISIN!$C:$C,0))),)</f>
        <v/>
      </c>
      <c r="R466" s="36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5" t="str">
        <f t="shared" si="1"/>
        <v/>
      </c>
      <c r="T466" s="37" t="str">
        <f t="shared" si="2"/>
        <v/>
      </c>
      <c r="U466" s="38" t="str">
        <f t="shared" si="3"/>
        <v/>
      </c>
      <c r="V466" s="32" t="str">
        <f t="shared" si="4"/>
        <v/>
      </c>
      <c r="W466" s="39" t="str">
        <f>IFERROR(__xludf.DUMMYFUNCTION(" IF(Account!$F466&lt;&gt;"""", SPLIT(Account!$F466, "" ""), """")"),"")</f>
        <v/>
      </c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</row>
    <row r="467">
      <c r="A467" s="12"/>
      <c r="B467" s="12"/>
      <c r="C467" s="12"/>
      <c r="D467" s="12"/>
      <c r="E467" s="12"/>
      <c r="F467" s="13"/>
      <c r="G467" s="12"/>
      <c r="H467" s="12"/>
      <c r="I467" s="12"/>
      <c r="J467" s="12"/>
      <c r="K467" s="12"/>
      <c r="L467" s="13"/>
      <c r="M467" s="30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2" t="str">
        <f>IFERROR(__xludf.DUMMYFUNCTION("IF(Account!$F467&lt;&gt;"""", VALUE(REGEXREPLACE($I467, ""\,"", ""."")), """")"),"")</f>
        <v/>
      </c>
      <c r="O467" s="33" t="str">
        <f>IF(Account!$F467&lt;&gt;"", DATEVALUE(MID($A467,4,3) &amp; LEFT($A467,3) &amp; RIGHT($A467,4)) + TIMEVALUE($B467), "")</f>
        <v/>
      </c>
      <c r="P467" s="34" t="str">
        <f>IF(Account!$F467&lt;&gt;"", DATEVALUE(MID($C467,4,3) &amp; LEFT($C467,3) &amp; RIGHT($C467,4)), "")</f>
        <v/>
      </c>
      <c r="Q467" s="35" t="str">
        <f t="array" ref="Q467">IF($R467&lt;&gt;"",IFERROR(INDEX(ISIN!$B:$B,MATCH($R467,ISIN!$C:$C,0))),)</f>
        <v/>
      </c>
      <c r="R467" s="36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5" t="str">
        <f t="shared" si="1"/>
        <v/>
      </c>
      <c r="T467" s="37" t="str">
        <f t="shared" si="2"/>
        <v/>
      </c>
      <c r="U467" s="38" t="str">
        <f t="shared" si="3"/>
        <v/>
      </c>
      <c r="V467" s="32" t="str">
        <f t="shared" si="4"/>
        <v/>
      </c>
      <c r="W467" s="39" t="str">
        <f>IFERROR(__xludf.DUMMYFUNCTION(" IF(Account!$F467&lt;&gt;"""", SPLIT(Account!$F467, "" ""), """")"),"")</f>
        <v/>
      </c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</row>
    <row r="468">
      <c r="A468" s="12"/>
      <c r="B468" s="12"/>
      <c r="C468" s="12"/>
      <c r="D468" s="12"/>
      <c r="E468" s="12"/>
      <c r="F468" s="13"/>
      <c r="G468" s="291"/>
      <c r="H468" s="12"/>
      <c r="I468" s="12"/>
      <c r="J468" s="12"/>
      <c r="K468" s="12"/>
      <c r="L468" s="13"/>
      <c r="M468" s="30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2" t="str">
        <f>IFERROR(__xludf.DUMMYFUNCTION("IF(Account!$F468&lt;&gt;"""", VALUE(REGEXREPLACE($I468, ""\,"", ""."")), """")"),"")</f>
        <v/>
      </c>
      <c r="O468" s="33" t="str">
        <f>IF(Account!$F468&lt;&gt;"", DATEVALUE(MID($A468,4,3) &amp; LEFT($A468,3) &amp; RIGHT($A468,4)) + TIMEVALUE($B468), "")</f>
        <v/>
      </c>
      <c r="P468" s="34" t="str">
        <f>IF(Account!$F468&lt;&gt;"", DATEVALUE(MID($C468,4,3) &amp; LEFT($C468,3) &amp; RIGHT($C468,4)), "")</f>
        <v/>
      </c>
      <c r="Q468" s="35" t="str">
        <f t="array" ref="Q468">IF($R468&lt;&gt;"",IFERROR(INDEX(ISIN!$B:$B,MATCH($R468,ISIN!$C:$C,0))),)</f>
        <v/>
      </c>
      <c r="R468" s="36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5" t="str">
        <f t="shared" si="1"/>
        <v/>
      </c>
      <c r="T468" s="37" t="str">
        <f t="shared" si="2"/>
        <v/>
      </c>
      <c r="U468" s="38" t="str">
        <f t="shared" si="3"/>
        <v/>
      </c>
      <c r="V468" s="32" t="str">
        <f t="shared" si="4"/>
        <v/>
      </c>
      <c r="W468" s="39" t="str">
        <f>IFERROR(__xludf.DUMMYFUNCTION(" IF(Account!$F468&lt;&gt;"""", SPLIT(Account!$F468, "" ""), """")"),"")</f>
        <v/>
      </c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</row>
    <row r="469">
      <c r="A469" s="12"/>
      <c r="B469" s="12"/>
      <c r="C469" s="12"/>
      <c r="D469" s="12"/>
      <c r="E469" s="12"/>
      <c r="F469" s="13"/>
      <c r="G469" s="291"/>
      <c r="H469" s="12"/>
      <c r="I469" s="12"/>
      <c r="J469" s="12"/>
      <c r="K469" s="12"/>
      <c r="L469" s="13"/>
      <c r="M469" s="30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2" t="str">
        <f>IFERROR(__xludf.DUMMYFUNCTION("IF(Account!$F469&lt;&gt;"""", VALUE(REGEXREPLACE($I469, ""\,"", ""."")), """")"),"")</f>
        <v/>
      </c>
      <c r="O469" s="33" t="str">
        <f>IF(Account!$F469&lt;&gt;"", DATEVALUE(MID($A469,4,3) &amp; LEFT($A469,3) &amp; RIGHT($A469,4)) + TIMEVALUE($B469), "")</f>
        <v/>
      </c>
      <c r="P469" s="34" t="str">
        <f>IF(Account!$F469&lt;&gt;"", DATEVALUE(MID($C469,4,3) &amp; LEFT($C469,3) &amp; RIGHT($C469,4)), "")</f>
        <v/>
      </c>
      <c r="Q469" s="35" t="str">
        <f t="array" ref="Q469">IF($R469&lt;&gt;"",IFERROR(INDEX(ISIN!$B:$B,MATCH($R469,ISIN!$C:$C,0))),)</f>
        <v/>
      </c>
      <c r="R469" s="36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5" t="str">
        <f t="shared" si="1"/>
        <v/>
      </c>
      <c r="T469" s="37" t="str">
        <f t="shared" si="2"/>
        <v/>
      </c>
      <c r="U469" s="38" t="str">
        <f t="shared" si="3"/>
        <v/>
      </c>
      <c r="V469" s="32" t="str">
        <f t="shared" si="4"/>
        <v/>
      </c>
      <c r="W469" s="39" t="str">
        <f>IFERROR(__xludf.DUMMYFUNCTION(" IF(Account!$F469&lt;&gt;"""", SPLIT(Account!$F469, "" ""), """")"),"")</f>
        <v/>
      </c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</row>
    <row r="470">
      <c r="A470" s="12"/>
      <c r="B470" s="12"/>
      <c r="C470" s="12"/>
      <c r="D470" s="12"/>
      <c r="E470" s="12"/>
      <c r="F470" s="13"/>
      <c r="G470" s="291"/>
      <c r="H470" s="12"/>
      <c r="I470" s="12"/>
      <c r="J470" s="12"/>
      <c r="K470" s="12"/>
      <c r="L470" s="13"/>
      <c r="M470" s="30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2" t="str">
        <f>IFERROR(__xludf.DUMMYFUNCTION("IF(Account!$F470&lt;&gt;"""", VALUE(REGEXREPLACE($I470, ""\,"", ""."")), """")"),"")</f>
        <v/>
      </c>
      <c r="O470" s="33" t="str">
        <f>IF(Account!$F470&lt;&gt;"", DATEVALUE(MID($A470,4,3) &amp; LEFT($A470,3) &amp; RIGHT($A470,4)) + TIMEVALUE($B470), "")</f>
        <v/>
      </c>
      <c r="P470" s="34" t="str">
        <f>IF(Account!$F470&lt;&gt;"", DATEVALUE(MID($C470,4,3) &amp; LEFT($C470,3) &amp; RIGHT($C470,4)), "")</f>
        <v/>
      </c>
      <c r="Q470" s="35" t="str">
        <f t="array" ref="Q470">IF($R470&lt;&gt;"",IFERROR(INDEX(ISIN!$B:$B,MATCH($R470,ISIN!$C:$C,0))),)</f>
        <v/>
      </c>
      <c r="R470" s="36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5" t="str">
        <f t="shared" si="1"/>
        <v/>
      </c>
      <c r="T470" s="37" t="str">
        <f t="shared" si="2"/>
        <v/>
      </c>
      <c r="U470" s="38" t="str">
        <f t="shared" si="3"/>
        <v/>
      </c>
      <c r="V470" s="32" t="str">
        <f t="shared" si="4"/>
        <v/>
      </c>
      <c r="W470" s="39" t="str">
        <f>IFERROR(__xludf.DUMMYFUNCTION(" IF(Account!$F470&lt;&gt;"""", SPLIT(Account!$F470, "" ""), """")"),"")</f>
        <v/>
      </c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</row>
    <row r="471">
      <c r="A471" s="12"/>
      <c r="B471" s="12"/>
      <c r="C471" s="12"/>
      <c r="D471" s="12"/>
      <c r="E471" s="12"/>
      <c r="F471" s="13"/>
      <c r="G471" s="291"/>
      <c r="H471" s="12"/>
      <c r="I471" s="12"/>
      <c r="J471" s="12"/>
      <c r="K471" s="12"/>
      <c r="L471" s="13"/>
      <c r="M471" s="30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2" t="str">
        <f>IFERROR(__xludf.DUMMYFUNCTION("IF(Account!$F471&lt;&gt;"""", VALUE(REGEXREPLACE($I471, ""\,"", ""."")), """")"),"")</f>
        <v/>
      </c>
      <c r="O471" s="33" t="str">
        <f>IF(Account!$F471&lt;&gt;"", DATEVALUE(MID($A471,4,3) &amp; LEFT($A471,3) &amp; RIGHT($A471,4)) + TIMEVALUE($B471), "")</f>
        <v/>
      </c>
      <c r="P471" s="34" t="str">
        <f>IF(Account!$F471&lt;&gt;"", DATEVALUE(MID($C471,4,3) &amp; LEFT($C471,3) &amp; RIGHT($C471,4)), "")</f>
        <v/>
      </c>
      <c r="Q471" s="35" t="str">
        <f t="array" ref="Q471">IF($R471&lt;&gt;"",IFERROR(INDEX(ISIN!$B:$B,MATCH($R471,ISIN!$C:$C,0))),)</f>
        <v/>
      </c>
      <c r="R471" s="36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5" t="str">
        <f t="shared" si="1"/>
        <v/>
      </c>
      <c r="T471" s="37" t="str">
        <f t="shared" si="2"/>
        <v/>
      </c>
      <c r="U471" s="38" t="str">
        <f t="shared" si="3"/>
        <v/>
      </c>
      <c r="V471" s="32" t="str">
        <f t="shared" si="4"/>
        <v/>
      </c>
      <c r="W471" s="39" t="str">
        <f>IFERROR(__xludf.DUMMYFUNCTION(" IF(Account!$F471&lt;&gt;"""", SPLIT(Account!$F471, "" ""), """")"),"")</f>
        <v/>
      </c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</row>
    <row r="472">
      <c r="A472" s="12"/>
      <c r="B472" s="12"/>
      <c r="C472" s="12"/>
      <c r="D472" s="12"/>
      <c r="E472" s="12"/>
      <c r="F472" s="13"/>
      <c r="G472" s="12"/>
      <c r="H472" s="12"/>
      <c r="I472" s="12"/>
      <c r="J472" s="12"/>
      <c r="K472" s="12"/>
      <c r="L472" s="13"/>
      <c r="M472" s="30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2" t="str">
        <f>IFERROR(__xludf.DUMMYFUNCTION("IF(Account!$F472&lt;&gt;"""", VALUE(REGEXREPLACE($I472, ""\,"", ""."")), """")"),"")</f>
        <v/>
      </c>
      <c r="O472" s="33" t="str">
        <f>IF(Account!$F472&lt;&gt;"", DATEVALUE(MID($A472,4,3) &amp; LEFT($A472,3) &amp; RIGHT($A472,4)) + TIMEVALUE($B472), "")</f>
        <v/>
      </c>
      <c r="P472" s="34" t="str">
        <f>IF(Account!$F472&lt;&gt;"", DATEVALUE(MID($C472,4,3) &amp; LEFT($C472,3) &amp; RIGHT($C472,4)), "")</f>
        <v/>
      </c>
      <c r="Q472" s="35" t="str">
        <f t="array" ref="Q472">IF($R472&lt;&gt;"",IFERROR(INDEX(ISIN!$B:$B,MATCH($R472,ISIN!$C:$C,0))),)</f>
        <v/>
      </c>
      <c r="R472" s="36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5" t="str">
        <f t="shared" si="1"/>
        <v/>
      </c>
      <c r="T472" s="37" t="str">
        <f t="shared" si="2"/>
        <v/>
      </c>
      <c r="U472" s="38" t="str">
        <f t="shared" si="3"/>
        <v/>
      </c>
      <c r="V472" s="32" t="str">
        <f t="shared" si="4"/>
        <v/>
      </c>
      <c r="W472" s="39" t="str">
        <f>IFERROR(__xludf.DUMMYFUNCTION(" IF(Account!$F472&lt;&gt;"""", SPLIT(Account!$F472, "" ""), """")"),"")</f>
        <v/>
      </c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</row>
    <row r="473">
      <c r="A473" s="12"/>
      <c r="B473" s="12"/>
      <c r="C473" s="12"/>
      <c r="D473" s="12"/>
      <c r="E473" s="12"/>
      <c r="F473" s="13"/>
      <c r="G473" s="291"/>
      <c r="H473" s="12"/>
      <c r="I473" s="12"/>
      <c r="J473" s="12"/>
      <c r="K473" s="12"/>
      <c r="L473" s="13"/>
      <c r="M473" s="30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2" t="str">
        <f>IFERROR(__xludf.DUMMYFUNCTION("IF(Account!$F473&lt;&gt;"""", VALUE(REGEXREPLACE($I473, ""\,"", ""."")), """")"),"")</f>
        <v/>
      </c>
      <c r="O473" s="33" t="str">
        <f>IF(Account!$F473&lt;&gt;"", DATEVALUE(MID($A473,4,3) &amp; LEFT($A473,3) &amp; RIGHT($A473,4)) + TIMEVALUE($B473), "")</f>
        <v/>
      </c>
      <c r="P473" s="34" t="str">
        <f>IF(Account!$F473&lt;&gt;"", DATEVALUE(MID($C473,4,3) &amp; LEFT($C473,3) &amp; RIGHT($C473,4)), "")</f>
        <v/>
      </c>
      <c r="Q473" s="35" t="str">
        <f t="array" ref="Q473">IF($R473&lt;&gt;"",IFERROR(INDEX(ISIN!$B:$B,MATCH($R473,ISIN!$C:$C,0))),)</f>
        <v/>
      </c>
      <c r="R473" s="36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5" t="str">
        <f t="shared" si="1"/>
        <v/>
      </c>
      <c r="T473" s="37" t="str">
        <f t="shared" si="2"/>
        <v/>
      </c>
      <c r="U473" s="38" t="str">
        <f t="shared" si="3"/>
        <v/>
      </c>
      <c r="V473" s="32" t="str">
        <f t="shared" si="4"/>
        <v/>
      </c>
      <c r="W473" s="39" t="str">
        <f>IFERROR(__xludf.DUMMYFUNCTION(" IF(Account!$F473&lt;&gt;"""", SPLIT(Account!$F473, "" ""), """")"),"")</f>
        <v/>
      </c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</row>
    <row r="474">
      <c r="A474" s="12"/>
      <c r="B474" s="12"/>
      <c r="C474" s="12"/>
      <c r="D474" s="12"/>
      <c r="E474" s="12"/>
      <c r="F474" s="13"/>
      <c r="G474" s="291"/>
      <c r="H474" s="12"/>
      <c r="I474" s="12"/>
      <c r="J474" s="12"/>
      <c r="K474" s="12"/>
      <c r="L474" s="13"/>
      <c r="M474" s="30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2" t="str">
        <f>IFERROR(__xludf.DUMMYFUNCTION("IF(Account!$F474&lt;&gt;"""", VALUE(REGEXREPLACE($I474, ""\,"", ""."")), """")"),"")</f>
        <v/>
      </c>
      <c r="O474" s="33" t="str">
        <f>IF(Account!$F474&lt;&gt;"", DATEVALUE(MID($A474,4,3) &amp; LEFT($A474,3) &amp; RIGHT($A474,4)) + TIMEVALUE($B474), "")</f>
        <v/>
      </c>
      <c r="P474" s="34" t="str">
        <f>IF(Account!$F474&lt;&gt;"", DATEVALUE(MID($C474,4,3) &amp; LEFT($C474,3) &amp; RIGHT($C474,4)), "")</f>
        <v/>
      </c>
      <c r="Q474" s="35" t="str">
        <f t="array" ref="Q474">IF($R474&lt;&gt;"",IFERROR(INDEX(ISIN!$B:$B,MATCH($R474,ISIN!$C:$C,0))),)</f>
        <v/>
      </c>
      <c r="R474" s="36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5" t="str">
        <f t="shared" si="1"/>
        <v/>
      </c>
      <c r="T474" s="37" t="str">
        <f t="shared" si="2"/>
        <v/>
      </c>
      <c r="U474" s="38" t="str">
        <f t="shared" si="3"/>
        <v/>
      </c>
      <c r="V474" s="32" t="str">
        <f t="shared" si="4"/>
        <v/>
      </c>
      <c r="W474" s="39" t="str">
        <f>IFERROR(__xludf.DUMMYFUNCTION(" IF(Account!$F474&lt;&gt;"""", SPLIT(Account!$F474, "" ""), """")"),"")</f>
        <v/>
      </c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</row>
    <row r="475">
      <c r="A475" s="12"/>
      <c r="B475" s="12"/>
      <c r="C475" s="12"/>
      <c r="D475" s="12"/>
      <c r="E475" s="12"/>
      <c r="F475" s="13"/>
      <c r="G475" s="12"/>
      <c r="H475" s="12"/>
      <c r="I475" s="12"/>
      <c r="J475" s="12"/>
      <c r="K475" s="12"/>
      <c r="L475" s="13"/>
      <c r="M475" s="30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2" t="str">
        <f>IFERROR(__xludf.DUMMYFUNCTION("IF(Account!$F475&lt;&gt;"""", VALUE(REGEXREPLACE($I475, ""\,"", ""."")), """")"),"")</f>
        <v/>
      </c>
      <c r="O475" s="33" t="str">
        <f>IF(Account!$F475&lt;&gt;"", DATEVALUE(MID($A475,4,3) &amp; LEFT($A475,3) &amp; RIGHT($A475,4)) + TIMEVALUE($B475), "")</f>
        <v/>
      </c>
      <c r="P475" s="34" t="str">
        <f>IF(Account!$F475&lt;&gt;"", DATEVALUE(MID($C475,4,3) &amp; LEFT($C475,3) &amp; RIGHT($C475,4)), "")</f>
        <v/>
      </c>
      <c r="Q475" s="35" t="str">
        <f t="array" ref="Q475">IF($R475&lt;&gt;"",IFERROR(INDEX(ISIN!$B:$B,MATCH($R475,ISIN!$C:$C,0))),)</f>
        <v/>
      </c>
      <c r="R475" s="36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5" t="str">
        <f t="shared" si="1"/>
        <v/>
      </c>
      <c r="T475" s="37" t="str">
        <f t="shared" si="2"/>
        <v/>
      </c>
      <c r="U475" s="38" t="str">
        <f t="shared" si="3"/>
        <v/>
      </c>
      <c r="V475" s="32" t="str">
        <f t="shared" si="4"/>
        <v/>
      </c>
      <c r="W475" s="39" t="str">
        <f>IFERROR(__xludf.DUMMYFUNCTION(" IF(Account!$F475&lt;&gt;"""", SPLIT(Account!$F475, "" ""), """")"),"")</f>
        <v/>
      </c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</row>
    <row r="476">
      <c r="A476" s="12"/>
      <c r="B476" s="12"/>
      <c r="C476" s="12"/>
      <c r="D476" s="12"/>
      <c r="E476" s="12"/>
      <c r="F476" s="13"/>
      <c r="G476" s="291"/>
      <c r="H476" s="12"/>
      <c r="I476" s="12"/>
      <c r="J476" s="12"/>
      <c r="K476" s="12"/>
      <c r="L476" s="13"/>
      <c r="M476" s="30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2" t="str">
        <f>IFERROR(__xludf.DUMMYFUNCTION("IF(Account!$F476&lt;&gt;"""", VALUE(REGEXREPLACE($I476, ""\,"", ""."")), """")"),"")</f>
        <v/>
      </c>
      <c r="O476" s="33" t="str">
        <f>IF(Account!$F476&lt;&gt;"", DATEVALUE(MID($A476,4,3) &amp; LEFT($A476,3) &amp; RIGHT($A476,4)) + TIMEVALUE($B476), "")</f>
        <v/>
      </c>
      <c r="P476" s="34" t="str">
        <f>IF(Account!$F476&lt;&gt;"", DATEVALUE(MID($C476,4,3) &amp; LEFT($C476,3) &amp; RIGHT($C476,4)), "")</f>
        <v/>
      </c>
      <c r="Q476" s="35" t="str">
        <f t="array" ref="Q476">IF($R476&lt;&gt;"",IFERROR(INDEX(ISIN!$B:$B,MATCH($R476,ISIN!$C:$C,0))),)</f>
        <v/>
      </c>
      <c r="R476" s="36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5" t="str">
        <f t="shared" si="1"/>
        <v/>
      </c>
      <c r="T476" s="37" t="str">
        <f t="shared" si="2"/>
        <v/>
      </c>
      <c r="U476" s="38" t="str">
        <f t="shared" si="3"/>
        <v/>
      </c>
      <c r="V476" s="32" t="str">
        <f t="shared" si="4"/>
        <v/>
      </c>
      <c r="W476" s="39" t="str">
        <f>IFERROR(__xludf.DUMMYFUNCTION(" IF(Account!$F476&lt;&gt;"""", SPLIT(Account!$F476, "" ""), """")"),"")</f>
        <v/>
      </c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</row>
    <row r="477">
      <c r="A477" s="12"/>
      <c r="B477" s="12"/>
      <c r="C477" s="12"/>
      <c r="D477" s="12"/>
      <c r="E477" s="12"/>
      <c r="F477" s="13"/>
      <c r="G477" s="291"/>
      <c r="H477" s="12"/>
      <c r="I477" s="12"/>
      <c r="J477" s="12"/>
      <c r="K477" s="12"/>
      <c r="L477" s="13"/>
      <c r="M477" s="30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2" t="str">
        <f>IFERROR(__xludf.DUMMYFUNCTION("IF(Account!$F477&lt;&gt;"""", VALUE(REGEXREPLACE($I477, ""\,"", ""."")), """")"),"")</f>
        <v/>
      </c>
      <c r="O477" s="33" t="str">
        <f>IF(Account!$F477&lt;&gt;"", DATEVALUE(MID($A477,4,3) &amp; LEFT($A477,3) &amp; RIGHT($A477,4)) + TIMEVALUE($B477), "")</f>
        <v/>
      </c>
      <c r="P477" s="34" t="str">
        <f>IF(Account!$F477&lt;&gt;"", DATEVALUE(MID($C477,4,3) &amp; LEFT($C477,3) &amp; RIGHT($C477,4)), "")</f>
        <v/>
      </c>
      <c r="Q477" s="35" t="str">
        <f t="array" ref="Q477">IF($R477&lt;&gt;"",IFERROR(INDEX(ISIN!$B:$B,MATCH($R477,ISIN!$C:$C,0))),)</f>
        <v/>
      </c>
      <c r="R477" s="36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5" t="str">
        <f t="shared" si="1"/>
        <v/>
      </c>
      <c r="T477" s="37" t="str">
        <f t="shared" si="2"/>
        <v/>
      </c>
      <c r="U477" s="38" t="str">
        <f t="shared" si="3"/>
        <v/>
      </c>
      <c r="V477" s="32" t="str">
        <f t="shared" si="4"/>
        <v/>
      </c>
      <c r="W477" s="39" t="str">
        <f>IFERROR(__xludf.DUMMYFUNCTION(" IF(Account!$F477&lt;&gt;"""", SPLIT(Account!$F477, "" ""), """")"),"")</f>
        <v/>
      </c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</row>
    <row r="478">
      <c r="A478" s="12"/>
      <c r="B478" s="12"/>
      <c r="C478" s="12"/>
      <c r="D478" s="12"/>
      <c r="E478" s="12"/>
      <c r="F478" s="13"/>
      <c r="G478" s="291"/>
      <c r="H478" s="12"/>
      <c r="I478" s="12"/>
      <c r="J478" s="12"/>
      <c r="K478" s="12"/>
      <c r="L478" s="13"/>
      <c r="M478" s="30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2" t="str">
        <f>IFERROR(__xludf.DUMMYFUNCTION("IF(Account!$F478&lt;&gt;"""", VALUE(REGEXREPLACE($I478, ""\,"", ""."")), """")"),"")</f>
        <v/>
      </c>
      <c r="O478" s="33" t="str">
        <f>IF(Account!$F478&lt;&gt;"", DATEVALUE(MID($A478,4,3) &amp; LEFT($A478,3) &amp; RIGHT($A478,4)) + TIMEVALUE($B478), "")</f>
        <v/>
      </c>
      <c r="P478" s="34" t="str">
        <f>IF(Account!$F478&lt;&gt;"", DATEVALUE(MID($C478,4,3) &amp; LEFT($C478,3) &amp; RIGHT($C478,4)), "")</f>
        <v/>
      </c>
      <c r="Q478" s="35" t="str">
        <f t="array" ref="Q478">IF($R478&lt;&gt;"",IFERROR(INDEX(ISIN!$B:$B,MATCH($R478,ISIN!$C:$C,0))),)</f>
        <v/>
      </c>
      <c r="R478" s="36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5" t="str">
        <f t="shared" si="1"/>
        <v/>
      </c>
      <c r="T478" s="37" t="str">
        <f t="shared" si="2"/>
        <v/>
      </c>
      <c r="U478" s="38" t="str">
        <f t="shared" si="3"/>
        <v/>
      </c>
      <c r="V478" s="32" t="str">
        <f t="shared" si="4"/>
        <v/>
      </c>
      <c r="W478" s="39" t="str">
        <f>IFERROR(__xludf.DUMMYFUNCTION(" IF(Account!$F478&lt;&gt;"""", SPLIT(Account!$F478, "" ""), """")"),"")</f>
        <v/>
      </c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</row>
    <row r="479">
      <c r="A479" s="12"/>
      <c r="B479" s="12"/>
      <c r="C479" s="12"/>
      <c r="D479" s="12"/>
      <c r="E479" s="12"/>
      <c r="F479" s="13"/>
      <c r="G479" s="12"/>
      <c r="H479" s="12"/>
      <c r="I479" s="12"/>
      <c r="J479" s="12"/>
      <c r="K479" s="12"/>
      <c r="L479" s="13"/>
      <c r="M479" s="30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2" t="str">
        <f>IFERROR(__xludf.DUMMYFUNCTION("IF(Account!$F479&lt;&gt;"""", VALUE(REGEXREPLACE($I479, ""\,"", ""."")), """")"),"")</f>
        <v/>
      </c>
      <c r="O479" s="33" t="str">
        <f>IF(Account!$F479&lt;&gt;"", DATEVALUE(MID($A479,4,3) &amp; LEFT($A479,3) &amp; RIGHT($A479,4)) + TIMEVALUE($B479), "")</f>
        <v/>
      </c>
      <c r="P479" s="34" t="str">
        <f>IF(Account!$F479&lt;&gt;"", DATEVALUE(MID($C479,4,3) &amp; LEFT($C479,3) &amp; RIGHT($C479,4)), "")</f>
        <v/>
      </c>
      <c r="Q479" s="35" t="str">
        <f t="array" ref="Q479">IF($R479&lt;&gt;"",IFERROR(INDEX(ISIN!$B:$B,MATCH($R479,ISIN!$C:$C,0))),)</f>
        <v/>
      </c>
      <c r="R479" s="36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5" t="str">
        <f t="shared" si="1"/>
        <v/>
      </c>
      <c r="T479" s="37" t="str">
        <f t="shared" si="2"/>
        <v/>
      </c>
      <c r="U479" s="38" t="str">
        <f t="shared" si="3"/>
        <v/>
      </c>
      <c r="V479" s="32" t="str">
        <f t="shared" si="4"/>
        <v/>
      </c>
      <c r="W479" s="39" t="str">
        <f>IFERROR(__xludf.DUMMYFUNCTION(" IF(Account!$F479&lt;&gt;"""", SPLIT(Account!$F479, "" ""), """")"),"")</f>
        <v/>
      </c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</row>
    <row r="480">
      <c r="A480" s="12"/>
      <c r="B480" s="12"/>
      <c r="C480" s="12"/>
      <c r="D480" s="12"/>
      <c r="E480" s="12"/>
      <c r="F480" s="13"/>
      <c r="G480" s="12"/>
      <c r="H480" s="12"/>
      <c r="I480" s="12"/>
      <c r="J480" s="12"/>
      <c r="K480" s="12"/>
      <c r="L480" s="13"/>
      <c r="M480" s="30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2" t="str">
        <f>IFERROR(__xludf.DUMMYFUNCTION("IF(Account!$F480&lt;&gt;"""", VALUE(REGEXREPLACE($I480, ""\,"", ""."")), """")"),"")</f>
        <v/>
      </c>
      <c r="O480" s="33" t="str">
        <f>IF(Account!$F480&lt;&gt;"", DATEVALUE(MID($A480,4,3) &amp; LEFT($A480,3) &amp; RIGHT($A480,4)) + TIMEVALUE($B480), "")</f>
        <v/>
      </c>
      <c r="P480" s="34" t="str">
        <f>IF(Account!$F480&lt;&gt;"", DATEVALUE(MID($C480,4,3) &amp; LEFT($C480,3) &amp; RIGHT($C480,4)), "")</f>
        <v/>
      </c>
      <c r="Q480" s="35" t="str">
        <f t="array" ref="Q480">IF($R480&lt;&gt;"",IFERROR(INDEX(ISIN!$B:$B,MATCH($R480,ISIN!$C:$C,0))),)</f>
        <v/>
      </c>
      <c r="R480" s="36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5" t="str">
        <f t="shared" si="1"/>
        <v/>
      </c>
      <c r="T480" s="37" t="str">
        <f t="shared" si="2"/>
        <v/>
      </c>
      <c r="U480" s="38" t="str">
        <f t="shared" si="3"/>
        <v/>
      </c>
      <c r="V480" s="32" t="str">
        <f t="shared" si="4"/>
        <v/>
      </c>
      <c r="W480" s="39" t="str">
        <f>IFERROR(__xludf.DUMMYFUNCTION(" IF(Account!$F480&lt;&gt;"""", SPLIT(Account!$F480, "" ""), """")"),"")</f>
        <v/>
      </c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</row>
    <row r="481">
      <c r="A481" s="12"/>
      <c r="B481" s="12"/>
      <c r="C481" s="12"/>
      <c r="D481" s="12"/>
      <c r="E481" s="12"/>
      <c r="F481" s="13"/>
      <c r="G481" s="291"/>
      <c r="H481" s="12"/>
      <c r="I481" s="12"/>
      <c r="J481" s="12"/>
      <c r="K481" s="12"/>
      <c r="L481" s="13"/>
      <c r="M481" s="30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2" t="str">
        <f>IFERROR(__xludf.DUMMYFUNCTION("IF(Account!$F481&lt;&gt;"""", VALUE(REGEXREPLACE($I481, ""\,"", ""."")), """")"),"")</f>
        <v/>
      </c>
      <c r="O481" s="33" t="str">
        <f>IF(Account!$F481&lt;&gt;"", DATEVALUE(MID($A481,4,3) &amp; LEFT($A481,3) &amp; RIGHT($A481,4)) + TIMEVALUE($B481), "")</f>
        <v/>
      </c>
      <c r="P481" s="34" t="str">
        <f>IF(Account!$F481&lt;&gt;"", DATEVALUE(MID($C481,4,3) &amp; LEFT($C481,3) &amp; RIGHT($C481,4)), "")</f>
        <v/>
      </c>
      <c r="Q481" s="35" t="str">
        <f t="array" ref="Q481">IF($R481&lt;&gt;"",IFERROR(INDEX(ISIN!$B:$B,MATCH($R481,ISIN!$C:$C,0))),)</f>
        <v/>
      </c>
      <c r="R481" s="36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5" t="str">
        <f t="shared" si="1"/>
        <v/>
      </c>
      <c r="T481" s="37" t="str">
        <f t="shared" si="2"/>
        <v/>
      </c>
      <c r="U481" s="38" t="str">
        <f t="shared" si="3"/>
        <v/>
      </c>
      <c r="V481" s="32" t="str">
        <f t="shared" si="4"/>
        <v/>
      </c>
      <c r="W481" s="39" t="str">
        <f>IFERROR(__xludf.DUMMYFUNCTION(" IF(Account!$F481&lt;&gt;"""", SPLIT(Account!$F481, "" ""), """")"),"")</f>
        <v/>
      </c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</row>
    <row r="482">
      <c r="A482" s="12"/>
      <c r="B482" s="12"/>
      <c r="C482" s="12"/>
      <c r="D482" s="12"/>
      <c r="E482" s="12"/>
      <c r="F482" s="13"/>
      <c r="G482" s="291"/>
      <c r="H482" s="12"/>
      <c r="I482" s="12"/>
      <c r="J482" s="12"/>
      <c r="K482" s="12"/>
      <c r="L482" s="13"/>
      <c r="M482" s="30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2" t="str">
        <f>IFERROR(__xludf.DUMMYFUNCTION("IF(Account!$F482&lt;&gt;"""", VALUE(REGEXREPLACE($I482, ""\,"", ""."")), """")"),"")</f>
        <v/>
      </c>
      <c r="O482" s="33" t="str">
        <f>IF(Account!$F482&lt;&gt;"", DATEVALUE(MID($A482,4,3) &amp; LEFT($A482,3) &amp; RIGHT($A482,4)) + TIMEVALUE($B482), "")</f>
        <v/>
      </c>
      <c r="P482" s="34" t="str">
        <f>IF(Account!$F482&lt;&gt;"", DATEVALUE(MID($C482,4,3) &amp; LEFT($C482,3) &amp; RIGHT($C482,4)), "")</f>
        <v/>
      </c>
      <c r="Q482" s="35" t="str">
        <f t="array" ref="Q482">IF($R482&lt;&gt;"",IFERROR(INDEX(ISIN!$B:$B,MATCH($R482,ISIN!$C:$C,0))),)</f>
        <v/>
      </c>
      <c r="R482" s="36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5" t="str">
        <f t="shared" si="1"/>
        <v/>
      </c>
      <c r="T482" s="37" t="str">
        <f t="shared" si="2"/>
        <v/>
      </c>
      <c r="U482" s="38" t="str">
        <f t="shared" si="3"/>
        <v/>
      </c>
      <c r="V482" s="32" t="str">
        <f t="shared" si="4"/>
        <v/>
      </c>
      <c r="W482" s="39" t="str">
        <f>IFERROR(__xludf.DUMMYFUNCTION(" IF(Account!$F482&lt;&gt;"""", SPLIT(Account!$F482, "" ""), """")"),"")</f>
        <v/>
      </c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</row>
    <row r="483">
      <c r="A483" s="12"/>
      <c r="B483" s="12"/>
      <c r="C483" s="12"/>
      <c r="D483" s="12"/>
      <c r="E483" s="12"/>
      <c r="F483" s="13"/>
      <c r="G483" s="291"/>
      <c r="H483" s="12"/>
      <c r="I483" s="12"/>
      <c r="J483" s="12"/>
      <c r="K483" s="12"/>
      <c r="L483" s="13"/>
      <c r="M483" s="30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2" t="str">
        <f>IFERROR(__xludf.DUMMYFUNCTION("IF(Account!$F483&lt;&gt;"""", VALUE(REGEXREPLACE($I483, ""\,"", ""."")), """")"),"")</f>
        <v/>
      </c>
      <c r="O483" s="33" t="str">
        <f>IF(Account!$F483&lt;&gt;"", DATEVALUE(MID($A483,4,3) &amp; LEFT($A483,3) &amp; RIGHT($A483,4)) + TIMEVALUE($B483), "")</f>
        <v/>
      </c>
      <c r="P483" s="34" t="str">
        <f>IF(Account!$F483&lt;&gt;"", DATEVALUE(MID($C483,4,3) &amp; LEFT($C483,3) &amp; RIGHT($C483,4)), "")</f>
        <v/>
      </c>
      <c r="Q483" s="35" t="str">
        <f t="array" ref="Q483">IF($R483&lt;&gt;"",IFERROR(INDEX(ISIN!$B:$B,MATCH($R483,ISIN!$C:$C,0))),)</f>
        <v/>
      </c>
      <c r="R483" s="36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5" t="str">
        <f t="shared" si="1"/>
        <v/>
      </c>
      <c r="T483" s="37" t="str">
        <f t="shared" si="2"/>
        <v/>
      </c>
      <c r="U483" s="38" t="str">
        <f t="shared" si="3"/>
        <v/>
      </c>
      <c r="V483" s="32" t="str">
        <f t="shared" si="4"/>
        <v/>
      </c>
      <c r="W483" s="39" t="str">
        <f>IFERROR(__xludf.DUMMYFUNCTION(" IF(Account!$F483&lt;&gt;"""", SPLIT(Account!$F483, "" ""), """")"),"")</f>
        <v/>
      </c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</row>
    <row r="484">
      <c r="A484" s="12"/>
      <c r="B484" s="12"/>
      <c r="C484" s="12"/>
      <c r="D484" s="12"/>
      <c r="E484" s="12"/>
      <c r="F484" s="13"/>
      <c r="G484" s="291"/>
      <c r="H484" s="12"/>
      <c r="I484" s="12"/>
      <c r="J484" s="12"/>
      <c r="K484" s="12"/>
      <c r="L484" s="13"/>
      <c r="M484" s="30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2" t="str">
        <f>IFERROR(__xludf.DUMMYFUNCTION("IF(Account!$F484&lt;&gt;"""", VALUE(REGEXREPLACE($I484, ""\,"", ""."")), """")"),"")</f>
        <v/>
      </c>
      <c r="O484" s="33" t="str">
        <f>IF(Account!$F484&lt;&gt;"", DATEVALUE(MID($A484,4,3) &amp; LEFT($A484,3) &amp; RIGHT($A484,4)) + TIMEVALUE($B484), "")</f>
        <v/>
      </c>
      <c r="P484" s="34" t="str">
        <f>IF(Account!$F484&lt;&gt;"", DATEVALUE(MID($C484,4,3) &amp; LEFT($C484,3) &amp; RIGHT($C484,4)), "")</f>
        <v/>
      </c>
      <c r="Q484" s="35" t="str">
        <f t="array" ref="Q484">IF($R484&lt;&gt;"",IFERROR(INDEX(ISIN!$B:$B,MATCH($R484,ISIN!$C:$C,0))),)</f>
        <v/>
      </c>
      <c r="R484" s="36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5" t="str">
        <f t="shared" si="1"/>
        <v/>
      </c>
      <c r="T484" s="37" t="str">
        <f t="shared" si="2"/>
        <v/>
      </c>
      <c r="U484" s="38" t="str">
        <f t="shared" si="3"/>
        <v/>
      </c>
      <c r="V484" s="32" t="str">
        <f t="shared" si="4"/>
        <v/>
      </c>
      <c r="W484" s="39" t="str">
        <f>IFERROR(__xludf.DUMMYFUNCTION(" IF(Account!$F484&lt;&gt;"""", SPLIT(Account!$F484, "" ""), """")"),"")</f>
        <v/>
      </c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</row>
    <row r="485">
      <c r="A485" s="12"/>
      <c r="B485" s="12"/>
      <c r="C485" s="12"/>
      <c r="D485" s="291"/>
      <c r="E485" s="291"/>
      <c r="F485" s="13"/>
      <c r="G485" s="291"/>
      <c r="H485" s="12"/>
      <c r="I485" s="12"/>
      <c r="J485" s="12"/>
      <c r="K485" s="12"/>
      <c r="L485" s="13"/>
      <c r="M485" s="30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2" t="str">
        <f>IFERROR(__xludf.DUMMYFUNCTION("IF(Account!$F485&lt;&gt;"""", VALUE(REGEXREPLACE($I485, ""\,"", ""."")), """")"),"")</f>
        <v/>
      </c>
      <c r="O485" s="33" t="str">
        <f>IF(Account!$F485&lt;&gt;"", DATEVALUE(MID($A485,4,3) &amp; LEFT($A485,3) &amp; RIGHT($A485,4)) + TIMEVALUE($B485), "")</f>
        <v/>
      </c>
      <c r="P485" s="34" t="str">
        <f>IF(Account!$F485&lt;&gt;"", DATEVALUE(MID($C485,4,3) &amp; LEFT($C485,3) &amp; RIGHT($C485,4)), "")</f>
        <v/>
      </c>
      <c r="Q485" s="35" t="str">
        <f t="array" ref="Q485">IF($R485&lt;&gt;"",IFERROR(INDEX(ISIN!$B:$B,MATCH($R485,ISIN!$C:$C,0))),)</f>
        <v/>
      </c>
      <c r="R485" s="36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5" t="str">
        <f t="shared" si="1"/>
        <v/>
      </c>
      <c r="T485" s="37" t="str">
        <f t="shared" si="2"/>
        <v/>
      </c>
      <c r="U485" s="38" t="str">
        <f t="shared" si="3"/>
        <v/>
      </c>
      <c r="V485" s="32" t="str">
        <f t="shared" si="4"/>
        <v/>
      </c>
      <c r="W485" s="39" t="str">
        <f>IFERROR(__xludf.DUMMYFUNCTION(" IF(Account!$F485&lt;&gt;"""", SPLIT(Account!$F485, "" ""), """")"),"")</f>
        <v/>
      </c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</row>
    <row r="486">
      <c r="A486" s="12"/>
      <c r="B486" s="12"/>
      <c r="C486" s="12"/>
      <c r="D486" s="291"/>
      <c r="E486" s="291"/>
      <c r="F486" s="13"/>
      <c r="G486" s="291"/>
      <c r="H486" s="12"/>
      <c r="I486" s="12"/>
      <c r="J486" s="12"/>
      <c r="K486" s="12"/>
      <c r="L486" s="13"/>
      <c r="M486" s="30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2" t="str">
        <f>IFERROR(__xludf.DUMMYFUNCTION("IF(Account!$F486&lt;&gt;"""", VALUE(REGEXREPLACE($I486, ""\,"", ""."")), """")"),"")</f>
        <v/>
      </c>
      <c r="O486" s="33" t="str">
        <f>IF(Account!$F486&lt;&gt;"", DATEVALUE(MID($A486,4,3) &amp; LEFT($A486,3) &amp; RIGHT($A486,4)) + TIMEVALUE($B486), "")</f>
        <v/>
      </c>
      <c r="P486" s="34" t="str">
        <f>IF(Account!$F486&lt;&gt;"", DATEVALUE(MID($C486,4,3) &amp; LEFT($C486,3) &amp; RIGHT($C486,4)), "")</f>
        <v/>
      </c>
      <c r="Q486" s="35" t="str">
        <f t="array" ref="Q486">IF($R486&lt;&gt;"",IFERROR(INDEX(ISIN!$B:$B,MATCH($R486,ISIN!$C:$C,0))),)</f>
        <v/>
      </c>
      <c r="R486" s="36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5" t="str">
        <f t="shared" si="1"/>
        <v/>
      </c>
      <c r="T486" s="37" t="str">
        <f t="shared" si="2"/>
        <v/>
      </c>
      <c r="U486" s="38" t="str">
        <f t="shared" si="3"/>
        <v/>
      </c>
      <c r="V486" s="32" t="str">
        <f t="shared" si="4"/>
        <v/>
      </c>
      <c r="W486" s="39" t="str">
        <f>IFERROR(__xludf.DUMMYFUNCTION(" IF(Account!$F486&lt;&gt;"""", SPLIT(Account!$F486, "" ""), """")"),"")</f>
        <v/>
      </c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</row>
    <row r="487">
      <c r="A487" s="12"/>
      <c r="B487" s="12"/>
      <c r="C487" s="12"/>
      <c r="D487" s="291"/>
      <c r="E487" s="291"/>
      <c r="F487" s="13"/>
      <c r="G487" s="12"/>
      <c r="H487" s="12"/>
      <c r="I487" s="12"/>
      <c r="J487" s="12"/>
      <c r="K487" s="12"/>
      <c r="L487" s="13"/>
      <c r="M487" s="30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2" t="str">
        <f>IFERROR(__xludf.DUMMYFUNCTION("IF(Account!$F487&lt;&gt;"""", VALUE(REGEXREPLACE($I487, ""\,"", ""."")), """")"),"")</f>
        <v/>
      </c>
      <c r="O487" s="33" t="str">
        <f>IF(Account!$F487&lt;&gt;"", DATEVALUE(MID($A487,4,3) &amp; LEFT($A487,3) &amp; RIGHT($A487,4)) + TIMEVALUE($B487), "")</f>
        <v/>
      </c>
      <c r="P487" s="34" t="str">
        <f>IF(Account!$F487&lt;&gt;"", DATEVALUE(MID($C487,4,3) &amp; LEFT($C487,3) &amp; RIGHT($C487,4)), "")</f>
        <v/>
      </c>
      <c r="Q487" s="35" t="str">
        <f t="array" ref="Q487">IF($R487&lt;&gt;"",IFERROR(INDEX(ISIN!$B:$B,MATCH($R487,ISIN!$C:$C,0))),)</f>
        <v/>
      </c>
      <c r="R487" s="36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5" t="str">
        <f t="shared" si="1"/>
        <v/>
      </c>
      <c r="T487" s="37" t="str">
        <f t="shared" si="2"/>
        <v/>
      </c>
      <c r="U487" s="38" t="str">
        <f t="shared" si="3"/>
        <v/>
      </c>
      <c r="V487" s="32" t="str">
        <f t="shared" si="4"/>
        <v/>
      </c>
      <c r="W487" s="39" t="str">
        <f>IFERROR(__xludf.DUMMYFUNCTION(" IF(Account!$F487&lt;&gt;"""", SPLIT(Account!$F487, "" ""), """")"),"")</f>
        <v/>
      </c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</row>
    <row r="488">
      <c r="A488" s="12"/>
      <c r="B488" s="12"/>
      <c r="C488" s="12"/>
      <c r="D488" s="12"/>
      <c r="E488" s="12"/>
      <c r="F488" s="13"/>
      <c r="G488" s="12"/>
      <c r="H488" s="12"/>
      <c r="I488" s="12"/>
      <c r="J488" s="12"/>
      <c r="K488" s="12"/>
      <c r="L488" s="13"/>
      <c r="M488" s="30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2" t="str">
        <f>IFERROR(__xludf.DUMMYFUNCTION("IF(Account!$F488&lt;&gt;"""", VALUE(REGEXREPLACE($I488, ""\,"", ""."")), """")"),"")</f>
        <v/>
      </c>
      <c r="O488" s="33" t="str">
        <f>IF(Account!$F488&lt;&gt;"", DATEVALUE(MID($A488,4,3) &amp; LEFT($A488,3) &amp; RIGHT($A488,4)) + TIMEVALUE($B488), "")</f>
        <v/>
      </c>
      <c r="P488" s="34" t="str">
        <f>IF(Account!$F488&lt;&gt;"", DATEVALUE(MID($C488,4,3) &amp; LEFT($C488,3) &amp; RIGHT($C488,4)), "")</f>
        <v/>
      </c>
      <c r="Q488" s="35" t="str">
        <f t="array" ref="Q488">IF($R488&lt;&gt;"",IFERROR(INDEX(ISIN!$B:$B,MATCH($R488,ISIN!$C:$C,0))),)</f>
        <v/>
      </c>
      <c r="R488" s="36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5" t="str">
        <f t="shared" si="1"/>
        <v/>
      </c>
      <c r="T488" s="37" t="str">
        <f t="shared" si="2"/>
        <v/>
      </c>
      <c r="U488" s="38" t="str">
        <f t="shared" si="3"/>
        <v/>
      </c>
      <c r="V488" s="32" t="str">
        <f t="shared" si="4"/>
        <v/>
      </c>
      <c r="W488" s="39" t="str">
        <f>IFERROR(__xludf.DUMMYFUNCTION(" IF(Account!$F488&lt;&gt;"""", SPLIT(Account!$F488, "" ""), """")"),"")</f>
        <v/>
      </c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</row>
    <row r="489">
      <c r="A489" s="12"/>
      <c r="B489" s="12"/>
      <c r="C489" s="12"/>
      <c r="D489" s="12"/>
      <c r="E489" s="12"/>
      <c r="F489" s="13"/>
      <c r="G489" s="12"/>
      <c r="H489" s="12"/>
      <c r="I489" s="12"/>
      <c r="J489" s="12"/>
      <c r="K489" s="12"/>
      <c r="L489" s="13"/>
      <c r="M489" s="30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2" t="str">
        <f>IFERROR(__xludf.DUMMYFUNCTION("IF(Account!$F489&lt;&gt;"""", VALUE(REGEXREPLACE($I489, ""\,"", ""."")), """")"),"")</f>
        <v/>
      </c>
      <c r="O489" s="33" t="str">
        <f>IF(Account!$F489&lt;&gt;"", DATEVALUE(MID($A489,4,3) &amp; LEFT($A489,3) &amp; RIGHT($A489,4)) + TIMEVALUE($B489), "")</f>
        <v/>
      </c>
      <c r="P489" s="34" t="str">
        <f>IF(Account!$F489&lt;&gt;"", DATEVALUE(MID($C489,4,3) &amp; LEFT($C489,3) &amp; RIGHT($C489,4)), "")</f>
        <v/>
      </c>
      <c r="Q489" s="35" t="str">
        <f t="array" ref="Q489">IF($R489&lt;&gt;"",IFERROR(INDEX(ISIN!$B:$B,MATCH($R489,ISIN!$C:$C,0))),)</f>
        <v/>
      </c>
      <c r="R489" s="36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5" t="str">
        <f t="shared" si="1"/>
        <v/>
      </c>
      <c r="T489" s="37" t="str">
        <f t="shared" si="2"/>
        <v/>
      </c>
      <c r="U489" s="38" t="str">
        <f t="shared" si="3"/>
        <v/>
      </c>
      <c r="V489" s="32" t="str">
        <f t="shared" si="4"/>
        <v/>
      </c>
      <c r="W489" s="39" t="str">
        <f>IFERROR(__xludf.DUMMYFUNCTION(" IF(Account!$F489&lt;&gt;"""", SPLIT(Account!$F489, "" ""), """")"),"")</f>
        <v/>
      </c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</row>
    <row r="490">
      <c r="A490" s="12"/>
      <c r="B490" s="12"/>
      <c r="C490" s="12"/>
      <c r="D490" s="12"/>
      <c r="E490" s="12"/>
      <c r="F490" s="13"/>
      <c r="G490" s="12"/>
      <c r="H490" s="12"/>
      <c r="I490" s="12"/>
      <c r="J490" s="12"/>
      <c r="K490" s="12"/>
      <c r="L490" s="13"/>
      <c r="M490" s="30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2" t="str">
        <f>IFERROR(__xludf.DUMMYFUNCTION("IF(Account!$F490&lt;&gt;"""", VALUE(REGEXREPLACE($I490, ""\,"", ""."")), """")"),"")</f>
        <v/>
      </c>
      <c r="O490" s="33" t="str">
        <f>IF(Account!$F490&lt;&gt;"", DATEVALUE(MID($A490,4,3) &amp; LEFT($A490,3) &amp; RIGHT($A490,4)) + TIMEVALUE($B490), "")</f>
        <v/>
      </c>
      <c r="P490" s="34" t="str">
        <f>IF(Account!$F490&lt;&gt;"", DATEVALUE(MID($C490,4,3) &amp; LEFT($C490,3) &amp; RIGHT($C490,4)), "")</f>
        <v/>
      </c>
      <c r="Q490" s="35" t="str">
        <f t="array" ref="Q490">IF($R490&lt;&gt;"",IFERROR(INDEX(ISIN!$B:$B,MATCH($R490,ISIN!$C:$C,0))),)</f>
        <v/>
      </c>
      <c r="R490" s="36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5" t="str">
        <f t="shared" si="1"/>
        <v/>
      </c>
      <c r="T490" s="37" t="str">
        <f t="shared" si="2"/>
        <v/>
      </c>
      <c r="U490" s="38" t="str">
        <f t="shared" si="3"/>
        <v/>
      </c>
      <c r="V490" s="32" t="str">
        <f t="shared" si="4"/>
        <v/>
      </c>
      <c r="W490" s="39" t="str">
        <f>IFERROR(__xludf.DUMMYFUNCTION(" IF(Account!$F490&lt;&gt;"""", SPLIT(Account!$F490, "" ""), """")"),"")</f>
        <v/>
      </c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</row>
    <row r="491">
      <c r="A491" s="12"/>
      <c r="B491" s="12"/>
      <c r="C491" s="12"/>
      <c r="D491" s="12"/>
      <c r="E491" s="12"/>
      <c r="F491" s="13"/>
      <c r="G491" s="291"/>
      <c r="H491" s="12"/>
      <c r="I491" s="12"/>
      <c r="J491" s="12"/>
      <c r="K491" s="12"/>
      <c r="L491" s="13"/>
      <c r="M491" s="30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2" t="str">
        <f>IFERROR(__xludf.DUMMYFUNCTION("IF(Account!$F491&lt;&gt;"""", VALUE(REGEXREPLACE($I491, ""\,"", ""."")), """")"),"")</f>
        <v/>
      </c>
      <c r="O491" s="33" t="str">
        <f>IF(Account!$F491&lt;&gt;"", DATEVALUE(MID($A491,4,3) &amp; LEFT($A491,3) &amp; RIGHT($A491,4)) + TIMEVALUE($B491), "")</f>
        <v/>
      </c>
      <c r="P491" s="34" t="str">
        <f>IF(Account!$F491&lt;&gt;"", DATEVALUE(MID($C491,4,3) &amp; LEFT($C491,3) &amp; RIGHT($C491,4)), "")</f>
        <v/>
      </c>
      <c r="Q491" s="35" t="str">
        <f t="array" ref="Q491">IF($R491&lt;&gt;"",IFERROR(INDEX(ISIN!$B:$B,MATCH($R491,ISIN!$C:$C,0))),)</f>
        <v/>
      </c>
      <c r="R491" s="36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5" t="str">
        <f t="shared" si="1"/>
        <v/>
      </c>
      <c r="T491" s="37" t="str">
        <f t="shared" si="2"/>
        <v/>
      </c>
      <c r="U491" s="38" t="str">
        <f t="shared" si="3"/>
        <v/>
      </c>
      <c r="V491" s="32" t="str">
        <f t="shared" si="4"/>
        <v/>
      </c>
      <c r="W491" s="39" t="str">
        <f>IFERROR(__xludf.DUMMYFUNCTION(" IF(Account!$F491&lt;&gt;"""", SPLIT(Account!$F491, "" ""), """")"),"")</f>
        <v/>
      </c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</row>
    <row r="492">
      <c r="A492" s="12"/>
      <c r="B492" s="12"/>
      <c r="C492" s="12"/>
      <c r="D492" s="12"/>
      <c r="E492" s="12"/>
      <c r="F492" s="13"/>
      <c r="G492" s="291"/>
      <c r="H492" s="12"/>
      <c r="I492" s="12"/>
      <c r="J492" s="12"/>
      <c r="K492" s="12"/>
      <c r="L492" s="13"/>
      <c r="M492" s="30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2" t="str">
        <f>IFERROR(__xludf.DUMMYFUNCTION("IF(Account!$F492&lt;&gt;"""", VALUE(REGEXREPLACE($I492, ""\,"", ""."")), """")"),"")</f>
        <v/>
      </c>
      <c r="O492" s="33" t="str">
        <f>IF(Account!$F492&lt;&gt;"", DATEVALUE(MID($A492,4,3) &amp; LEFT($A492,3) &amp; RIGHT($A492,4)) + TIMEVALUE($B492), "")</f>
        <v/>
      </c>
      <c r="P492" s="34" t="str">
        <f>IF(Account!$F492&lt;&gt;"", DATEVALUE(MID($C492,4,3) &amp; LEFT($C492,3) &amp; RIGHT($C492,4)), "")</f>
        <v/>
      </c>
      <c r="Q492" s="35" t="str">
        <f t="array" ref="Q492">IF($R492&lt;&gt;"",IFERROR(INDEX(ISIN!$B:$B,MATCH($R492,ISIN!$C:$C,0))),)</f>
        <v/>
      </c>
      <c r="R492" s="36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5" t="str">
        <f t="shared" si="1"/>
        <v/>
      </c>
      <c r="T492" s="37" t="str">
        <f t="shared" si="2"/>
        <v/>
      </c>
      <c r="U492" s="38" t="str">
        <f t="shared" si="3"/>
        <v/>
      </c>
      <c r="V492" s="32" t="str">
        <f t="shared" si="4"/>
        <v/>
      </c>
      <c r="W492" s="39" t="str">
        <f>IFERROR(__xludf.DUMMYFUNCTION(" IF(Account!$F492&lt;&gt;"""", SPLIT(Account!$F492, "" ""), """")"),"")</f>
        <v/>
      </c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</row>
    <row r="493">
      <c r="A493" s="12"/>
      <c r="B493" s="12"/>
      <c r="C493" s="12"/>
      <c r="D493" s="12"/>
      <c r="E493" s="12"/>
      <c r="F493" s="13"/>
      <c r="G493" s="291"/>
      <c r="H493" s="12"/>
      <c r="I493" s="12"/>
      <c r="J493" s="12"/>
      <c r="K493" s="12"/>
      <c r="L493" s="13"/>
      <c r="M493" s="30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2" t="str">
        <f>IFERROR(__xludf.DUMMYFUNCTION("IF(Account!$F493&lt;&gt;"""", VALUE(REGEXREPLACE($I493, ""\,"", ""."")), """")"),"")</f>
        <v/>
      </c>
      <c r="O493" s="33" t="str">
        <f>IF(Account!$F493&lt;&gt;"", DATEVALUE(MID($A493,4,3) &amp; LEFT($A493,3) &amp; RIGHT($A493,4)) + TIMEVALUE($B493), "")</f>
        <v/>
      </c>
      <c r="P493" s="34" t="str">
        <f>IF(Account!$F493&lt;&gt;"", DATEVALUE(MID($C493,4,3) &amp; LEFT($C493,3) &amp; RIGHT($C493,4)), "")</f>
        <v/>
      </c>
      <c r="Q493" s="35" t="str">
        <f t="array" ref="Q493">IF($R493&lt;&gt;"",IFERROR(INDEX(ISIN!$B:$B,MATCH($R493,ISIN!$C:$C,0))),)</f>
        <v/>
      </c>
      <c r="R493" s="36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5" t="str">
        <f t="shared" si="1"/>
        <v/>
      </c>
      <c r="T493" s="37" t="str">
        <f t="shared" si="2"/>
        <v/>
      </c>
      <c r="U493" s="38" t="str">
        <f t="shared" si="3"/>
        <v/>
      </c>
      <c r="V493" s="32" t="str">
        <f t="shared" si="4"/>
        <v/>
      </c>
      <c r="W493" s="39" t="str">
        <f>IFERROR(__xludf.DUMMYFUNCTION(" IF(Account!$F493&lt;&gt;"""", SPLIT(Account!$F493, "" ""), """")"),"")</f>
        <v/>
      </c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</row>
    <row r="494">
      <c r="A494" s="12"/>
      <c r="B494" s="12"/>
      <c r="C494" s="12"/>
      <c r="D494" s="291"/>
      <c r="E494" s="291"/>
      <c r="F494" s="13"/>
      <c r="G494" s="291"/>
      <c r="H494" s="12"/>
      <c r="I494" s="12"/>
      <c r="J494" s="12"/>
      <c r="K494" s="12"/>
      <c r="L494" s="13"/>
      <c r="M494" s="30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2" t="str">
        <f>IFERROR(__xludf.DUMMYFUNCTION("IF(Account!$F494&lt;&gt;"""", VALUE(REGEXREPLACE($I494, ""\,"", ""."")), """")"),"")</f>
        <v/>
      </c>
      <c r="O494" s="33" t="str">
        <f>IF(Account!$F494&lt;&gt;"", DATEVALUE(MID($A494,4,3) &amp; LEFT($A494,3) &amp; RIGHT($A494,4)) + TIMEVALUE($B494), "")</f>
        <v/>
      </c>
      <c r="P494" s="34" t="str">
        <f>IF(Account!$F494&lt;&gt;"", DATEVALUE(MID($C494,4,3) &amp; LEFT($C494,3) &amp; RIGHT($C494,4)), "")</f>
        <v/>
      </c>
      <c r="Q494" s="35" t="str">
        <f t="array" ref="Q494">IF($R494&lt;&gt;"",IFERROR(INDEX(ISIN!$B:$B,MATCH($R494,ISIN!$C:$C,0))),)</f>
        <v/>
      </c>
      <c r="R494" s="36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5" t="str">
        <f t="shared" si="1"/>
        <v/>
      </c>
      <c r="T494" s="37" t="str">
        <f t="shared" si="2"/>
        <v/>
      </c>
      <c r="U494" s="38" t="str">
        <f t="shared" si="3"/>
        <v/>
      </c>
      <c r="V494" s="32" t="str">
        <f t="shared" si="4"/>
        <v/>
      </c>
      <c r="W494" s="39" t="str">
        <f>IFERROR(__xludf.DUMMYFUNCTION(" IF(Account!$F494&lt;&gt;"""", SPLIT(Account!$F494, "" ""), """")"),"")</f>
        <v/>
      </c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</row>
    <row r="495">
      <c r="A495" s="12"/>
      <c r="B495" s="12"/>
      <c r="C495" s="12"/>
      <c r="D495" s="12"/>
      <c r="E495" s="12"/>
      <c r="F495" s="13"/>
      <c r="G495" s="291"/>
      <c r="H495" s="12"/>
      <c r="I495" s="12"/>
      <c r="J495" s="12"/>
      <c r="K495" s="12"/>
      <c r="L495" s="13"/>
      <c r="M495" s="30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2" t="str">
        <f>IFERROR(__xludf.DUMMYFUNCTION("IF(Account!$F495&lt;&gt;"""", VALUE(REGEXREPLACE($I495, ""\,"", ""."")), """")"),"")</f>
        <v/>
      </c>
      <c r="O495" s="33" t="str">
        <f>IF(Account!$F495&lt;&gt;"", DATEVALUE(MID($A495,4,3) &amp; LEFT($A495,3) &amp; RIGHT($A495,4)) + TIMEVALUE($B495), "")</f>
        <v/>
      </c>
      <c r="P495" s="34" t="str">
        <f>IF(Account!$F495&lt;&gt;"", DATEVALUE(MID($C495,4,3) &amp; LEFT($C495,3) &amp; RIGHT($C495,4)), "")</f>
        <v/>
      </c>
      <c r="Q495" s="35" t="str">
        <f t="array" ref="Q495">IF($R495&lt;&gt;"",IFERROR(INDEX(ISIN!$B:$B,MATCH($R495,ISIN!$C:$C,0))),)</f>
        <v/>
      </c>
      <c r="R495" s="36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5" t="str">
        <f t="shared" si="1"/>
        <v/>
      </c>
      <c r="T495" s="37" t="str">
        <f t="shared" si="2"/>
        <v/>
      </c>
      <c r="U495" s="38" t="str">
        <f t="shared" si="3"/>
        <v/>
      </c>
      <c r="V495" s="32" t="str">
        <f t="shared" si="4"/>
        <v/>
      </c>
      <c r="W495" s="39" t="str">
        <f>IFERROR(__xludf.DUMMYFUNCTION(" IF(Account!$F495&lt;&gt;"""", SPLIT(Account!$F495, "" ""), """")"),"")</f>
        <v/>
      </c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</row>
    <row r="496">
      <c r="A496" s="12"/>
      <c r="B496" s="12"/>
      <c r="C496" s="12"/>
      <c r="D496" s="12"/>
      <c r="E496" s="12"/>
      <c r="F496" s="13"/>
      <c r="G496" s="12"/>
      <c r="H496" s="12"/>
      <c r="I496" s="12"/>
      <c r="J496" s="12"/>
      <c r="K496" s="12"/>
      <c r="L496" s="13"/>
      <c r="M496" s="30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2" t="str">
        <f>IFERROR(__xludf.DUMMYFUNCTION("IF(Account!$F496&lt;&gt;"""", VALUE(REGEXREPLACE($I496, ""\,"", ""."")), """")"),"")</f>
        <v/>
      </c>
      <c r="O496" s="33" t="str">
        <f>IF(Account!$F496&lt;&gt;"", DATEVALUE(MID($A496,4,3) &amp; LEFT($A496,3) &amp; RIGHT($A496,4)) + TIMEVALUE($B496), "")</f>
        <v/>
      </c>
      <c r="P496" s="34" t="str">
        <f>IF(Account!$F496&lt;&gt;"", DATEVALUE(MID($C496,4,3) &amp; LEFT($C496,3) &amp; RIGHT($C496,4)), "")</f>
        <v/>
      </c>
      <c r="Q496" s="35" t="str">
        <f t="array" ref="Q496">IF($R496&lt;&gt;"",IFERROR(INDEX(ISIN!$B:$B,MATCH($R496,ISIN!$C:$C,0))),)</f>
        <v/>
      </c>
      <c r="R496" s="36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5" t="str">
        <f t="shared" si="1"/>
        <v/>
      </c>
      <c r="T496" s="37" t="str">
        <f t="shared" si="2"/>
        <v/>
      </c>
      <c r="U496" s="38" t="str">
        <f t="shared" si="3"/>
        <v/>
      </c>
      <c r="V496" s="32" t="str">
        <f t="shared" si="4"/>
        <v/>
      </c>
      <c r="W496" s="39" t="str">
        <f>IFERROR(__xludf.DUMMYFUNCTION(" IF(Account!$F496&lt;&gt;"""", SPLIT(Account!$F496, "" ""), """")"),"")</f>
        <v/>
      </c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</row>
    <row r="497">
      <c r="A497" s="12"/>
      <c r="B497" s="12"/>
      <c r="C497" s="12"/>
      <c r="D497" s="12"/>
      <c r="E497" s="12"/>
      <c r="F497" s="13"/>
      <c r="G497" s="291"/>
      <c r="H497" s="12"/>
      <c r="I497" s="12"/>
      <c r="J497" s="12"/>
      <c r="K497" s="12"/>
      <c r="L497" s="13"/>
      <c r="M497" s="30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2" t="str">
        <f>IFERROR(__xludf.DUMMYFUNCTION("IF(Account!$F497&lt;&gt;"""", VALUE(REGEXREPLACE($I497, ""\,"", ""."")), """")"),"")</f>
        <v/>
      </c>
      <c r="O497" s="33" t="str">
        <f>IF(Account!$F497&lt;&gt;"", DATEVALUE(MID($A497,4,3) &amp; LEFT($A497,3) &amp; RIGHT($A497,4)) + TIMEVALUE($B497), "")</f>
        <v/>
      </c>
      <c r="P497" s="34" t="str">
        <f>IF(Account!$F497&lt;&gt;"", DATEVALUE(MID($C497,4,3) &amp; LEFT($C497,3) &amp; RIGHT($C497,4)), "")</f>
        <v/>
      </c>
      <c r="Q497" s="35" t="str">
        <f t="array" ref="Q497">IF($R497&lt;&gt;"",IFERROR(INDEX(ISIN!$B:$B,MATCH($R497,ISIN!$C:$C,0))),)</f>
        <v/>
      </c>
      <c r="R497" s="36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5" t="str">
        <f t="shared" si="1"/>
        <v/>
      </c>
      <c r="T497" s="37" t="str">
        <f t="shared" si="2"/>
        <v/>
      </c>
      <c r="U497" s="38" t="str">
        <f t="shared" si="3"/>
        <v/>
      </c>
      <c r="V497" s="32" t="str">
        <f t="shared" si="4"/>
        <v/>
      </c>
      <c r="W497" s="39" t="str">
        <f>IFERROR(__xludf.DUMMYFUNCTION(" IF(Account!$F497&lt;&gt;"""", SPLIT(Account!$F497, "" ""), """")"),"")</f>
        <v/>
      </c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</row>
    <row r="498">
      <c r="A498" s="12"/>
      <c r="B498" s="12"/>
      <c r="C498" s="12"/>
      <c r="D498" s="12"/>
      <c r="E498" s="12"/>
      <c r="F498" s="13"/>
      <c r="G498" s="12"/>
      <c r="H498" s="12"/>
      <c r="I498" s="12"/>
      <c r="J498" s="12"/>
      <c r="K498" s="12"/>
      <c r="L498" s="13"/>
      <c r="M498" s="30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2" t="str">
        <f>IFERROR(__xludf.DUMMYFUNCTION("IF(Account!$F498&lt;&gt;"""", VALUE(REGEXREPLACE($I498, ""\,"", ""."")), """")"),"")</f>
        <v/>
      </c>
      <c r="O498" s="33" t="str">
        <f>IF(Account!$F498&lt;&gt;"", DATEVALUE(MID($A498,4,3) &amp; LEFT($A498,3) &amp; RIGHT($A498,4)) + TIMEVALUE($B498), "")</f>
        <v/>
      </c>
      <c r="P498" s="34" t="str">
        <f>IF(Account!$F498&lt;&gt;"", DATEVALUE(MID($C498,4,3) &amp; LEFT($C498,3) &amp; RIGHT($C498,4)), "")</f>
        <v/>
      </c>
      <c r="Q498" s="35" t="str">
        <f t="array" ref="Q498">IF($R498&lt;&gt;"",IFERROR(INDEX(ISIN!$B:$B,MATCH($R498,ISIN!$C:$C,0))),)</f>
        <v/>
      </c>
      <c r="R498" s="36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5" t="str">
        <f t="shared" si="1"/>
        <v/>
      </c>
      <c r="T498" s="37" t="str">
        <f t="shared" si="2"/>
        <v/>
      </c>
      <c r="U498" s="38" t="str">
        <f t="shared" si="3"/>
        <v/>
      </c>
      <c r="V498" s="32" t="str">
        <f t="shared" si="4"/>
        <v/>
      </c>
      <c r="W498" s="39" t="str">
        <f>IFERROR(__xludf.DUMMYFUNCTION(" IF(Account!$F498&lt;&gt;"""", SPLIT(Account!$F498, "" ""), """")"),"")</f>
        <v/>
      </c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</row>
    <row r="499">
      <c r="A499" s="12"/>
      <c r="B499" s="12"/>
      <c r="C499" s="12"/>
      <c r="D499" s="12"/>
      <c r="E499" s="12"/>
      <c r="F499" s="13"/>
      <c r="G499" s="291"/>
      <c r="H499" s="12"/>
      <c r="I499" s="12"/>
      <c r="J499" s="12"/>
      <c r="K499" s="12"/>
      <c r="L499" s="13"/>
      <c r="M499" s="30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2" t="str">
        <f>IFERROR(__xludf.DUMMYFUNCTION("IF(Account!$F499&lt;&gt;"""", VALUE(REGEXREPLACE($I499, ""\,"", ""."")), """")"),"")</f>
        <v/>
      </c>
      <c r="O499" s="33" t="str">
        <f>IF(Account!$F499&lt;&gt;"", DATEVALUE(MID($A499,4,3) &amp; LEFT($A499,3) &amp; RIGHT($A499,4)) + TIMEVALUE($B499), "")</f>
        <v/>
      </c>
      <c r="P499" s="34" t="str">
        <f>IF(Account!$F499&lt;&gt;"", DATEVALUE(MID($C499,4,3) &amp; LEFT($C499,3) &amp; RIGHT($C499,4)), "")</f>
        <v/>
      </c>
      <c r="Q499" s="35" t="str">
        <f t="array" ref="Q499">IF($R499&lt;&gt;"",IFERROR(INDEX(ISIN!$B:$B,MATCH($R499,ISIN!$C:$C,0))),)</f>
        <v/>
      </c>
      <c r="R499" s="36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5" t="str">
        <f t="shared" si="1"/>
        <v/>
      </c>
      <c r="T499" s="37" t="str">
        <f t="shared" si="2"/>
        <v/>
      </c>
      <c r="U499" s="38" t="str">
        <f t="shared" si="3"/>
        <v/>
      </c>
      <c r="V499" s="32" t="str">
        <f t="shared" si="4"/>
        <v/>
      </c>
      <c r="W499" s="39" t="str">
        <f>IFERROR(__xludf.DUMMYFUNCTION(" IF(Account!$F499&lt;&gt;"""", SPLIT(Account!$F499, "" ""), """")"),"")</f>
        <v/>
      </c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</row>
    <row r="500">
      <c r="A500" s="12"/>
      <c r="B500" s="12"/>
      <c r="C500" s="12"/>
      <c r="D500" s="12"/>
      <c r="E500" s="12"/>
      <c r="F500" s="13"/>
      <c r="G500" s="12"/>
      <c r="H500" s="12"/>
      <c r="I500" s="12"/>
      <c r="J500" s="12"/>
      <c r="K500" s="12"/>
      <c r="L500" s="13"/>
      <c r="M500" s="30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2" t="str">
        <f>IFERROR(__xludf.DUMMYFUNCTION("IF(Account!$F500&lt;&gt;"""", VALUE(REGEXREPLACE($I500, ""\,"", ""."")), """")"),"")</f>
        <v/>
      </c>
      <c r="O500" s="33" t="str">
        <f>IF(Account!$F500&lt;&gt;"", DATEVALUE(MID($A500,4,3) &amp; LEFT($A500,3) &amp; RIGHT($A500,4)) + TIMEVALUE($B500), "")</f>
        <v/>
      </c>
      <c r="P500" s="34" t="str">
        <f>IF(Account!$F500&lt;&gt;"", DATEVALUE(MID($C500,4,3) &amp; LEFT($C500,3) &amp; RIGHT($C500,4)), "")</f>
        <v/>
      </c>
      <c r="Q500" s="35" t="str">
        <f t="array" ref="Q500">IF($R500&lt;&gt;"",IFERROR(INDEX(ISIN!$B:$B,MATCH($R500,ISIN!$C:$C,0))),)</f>
        <v/>
      </c>
      <c r="R500" s="36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5" t="str">
        <f t="shared" si="1"/>
        <v/>
      </c>
      <c r="T500" s="37" t="str">
        <f t="shared" si="2"/>
        <v/>
      </c>
      <c r="U500" s="38" t="str">
        <f t="shared" si="3"/>
        <v/>
      </c>
      <c r="V500" s="32" t="str">
        <f t="shared" si="4"/>
        <v/>
      </c>
      <c r="W500" s="39" t="str">
        <f>IFERROR(__xludf.DUMMYFUNCTION(" IF(Account!$F500&lt;&gt;"""", SPLIT(Account!$F500, "" ""), """")"),"")</f>
        <v/>
      </c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</row>
    <row r="501">
      <c r="A501" s="12"/>
      <c r="B501" s="12"/>
      <c r="C501" s="12"/>
      <c r="D501" s="12"/>
      <c r="E501" s="12"/>
      <c r="F501" s="13"/>
      <c r="G501" s="291"/>
      <c r="H501" s="12"/>
      <c r="I501" s="12"/>
      <c r="J501" s="12"/>
      <c r="K501" s="12"/>
      <c r="L501" s="13"/>
      <c r="M501" s="30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2" t="str">
        <f>IFERROR(__xludf.DUMMYFUNCTION("IF(Account!$F501&lt;&gt;"""", VALUE(REGEXREPLACE($I501, ""\,"", ""."")), """")"),"")</f>
        <v/>
      </c>
      <c r="O501" s="33" t="str">
        <f>IF(Account!$F501&lt;&gt;"", DATEVALUE(MID($A501,4,3) &amp; LEFT($A501,3) &amp; RIGHT($A501,4)) + TIMEVALUE($B501), "")</f>
        <v/>
      </c>
      <c r="P501" s="34" t="str">
        <f>IF(Account!$F501&lt;&gt;"", DATEVALUE(MID($C501,4,3) &amp; LEFT($C501,3) &amp; RIGHT($C501,4)), "")</f>
        <v/>
      </c>
      <c r="Q501" s="35" t="str">
        <f t="array" ref="Q501">IF($R501&lt;&gt;"",IFERROR(INDEX(ISIN!$B:$B,MATCH($R501,ISIN!$C:$C,0))),)</f>
        <v/>
      </c>
      <c r="R501" s="36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5" t="str">
        <f t="shared" si="1"/>
        <v/>
      </c>
      <c r="T501" s="37" t="str">
        <f t="shared" si="2"/>
        <v/>
      </c>
      <c r="U501" s="38" t="str">
        <f t="shared" si="3"/>
        <v/>
      </c>
      <c r="V501" s="32" t="str">
        <f t="shared" si="4"/>
        <v/>
      </c>
      <c r="W501" s="39" t="str">
        <f>IFERROR(__xludf.DUMMYFUNCTION(" IF(Account!$F501&lt;&gt;"""", SPLIT(Account!$F501, "" ""), """")"),"")</f>
        <v/>
      </c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</row>
    <row r="502">
      <c r="A502" s="12"/>
      <c r="B502" s="12"/>
      <c r="C502" s="12"/>
      <c r="D502" s="12"/>
      <c r="E502" s="12"/>
      <c r="F502" s="13"/>
      <c r="G502" s="291"/>
      <c r="H502" s="12"/>
      <c r="I502" s="12"/>
      <c r="J502" s="12"/>
      <c r="K502" s="12"/>
      <c r="L502" s="13"/>
      <c r="M502" s="30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2" t="str">
        <f>IFERROR(__xludf.DUMMYFUNCTION("IF(Account!$F502&lt;&gt;"""", VALUE(REGEXREPLACE($I502, ""\,"", ""."")), """")"),"")</f>
        <v/>
      </c>
      <c r="O502" s="33" t="str">
        <f>IF(Account!$F502&lt;&gt;"", DATEVALUE(MID($A502,4,3) &amp; LEFT($A502,3) &amp; RIGHT($A502,4)) + TIMEVALUE($B502), "")</f>
        <v/>
      </c>
      <c r="P502" s="34" t="str">
        <f>IF(Account!$F502&lt;&gt;"", DATEVALUE(MID($C502,4,3) &amp; LEFT($C502,3) &amp; RIGHT($C502,4)), "")</f>
        <v/>
      </c>
      <c r="Q502" s="35" t="str">
        <f t="array" ref="Q502">IF($R502&lt;&gt;"",IFERROR(INDEX(ISIN!$B:$B,MATCH($R502,ISIN!$C:$C,0))),)</f>
        <v/>
      </c>
      <c r="R502" s="36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5" t="str">
        <f t="shared" si="1"/>
        <v/>
      </c>
      <c r="T502" s="37" t="str">
        <f t="shared" si="2"/>
        <v/>
      </c>
      <c r="U502" s="38" t="str">
        <f t="shared" si="3"/>
        <v/>
      </c>
      <c r="V502" s="32" t="str">
        <f t="shared" si="4"/>
        <v/>
      </c>
      <c r="W502" s="39" t="str">
        <f>IFERROR(__xludf.DUMMYFUNCTION(" IF(Account!$F502&lt;&gt;"""", SPLIT(Account!$F502, "" ""), """")"),"")</f>
        <v/>
      </c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</row>
    <row r="503">
      <c r="A503" s="12"/>
      <c r="B503" s="12"/>
      <c r="C503" s="12"/>
      <c r="D503" s="12"/>
      <c r="E503" s="12"/>
      <c r="F503" s="13"/>
      <c r="G503" s="291"/>
      <c r="H503" s="12"/>
      <c r="I503" s="12"/>
      <c r="J503" s="12"/>
      <c r="K503" s="12"/>
      <c r="L503" s="13"/>
      <c r="M503" s="30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2" t="str">
        <f>IFERROR(__xludf.DUMMYFUNCTION("IF(Account!$F503&lt;&gt;"""", VALUE(REGEXREPLACE($I503, ""\,"", ""."")), """")"),"")</f>
        <v/>
      </c>
      <c r="O503" s="33" t="str">
        <f>IF(Account!$F503&lt;&gt;"", DATEVALUE(MID($A503,4,3) &amp; LEFT($A503,3) &amp; RIGHT($A503,4)) + TIMEVALUE($B503), "")</f>
        <v/>
      </c>
      <c r="P503" s="34" t="str">
        <f>IF(Account!$F503&lt;&gt;"", DATEVALUE(MID($C503,4,3) &amp; LEFT($C503,3) &amp; RIGHT($C503,4)), "")</f>
        <v/>
      </c>
      <c r="Q503" s="35" t="str">
        <f t="array" ref="Q503">IF($R503&lt;&gt;"",IFERROR(INDEX(ISIN!$B:$B,MATCH($R503,ISIN!$C:$C,0))),)</f>
        <v/>
      </c>
      <c r="R503" s="36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5" t="str">
        <f t="shared" si="1"/>
        <v/>
      </c>
      <c r="T503" s="37" t="str">
        <f t="shared" si="2"/>
        <v/>
      </c>
      <c r="U503" s="38" t="str">
        <f t="shared" si="3"/>
        <v/>
      </c>
      <c r="V503" s="32" t="str">
        <f t="shared" si="4"/>
        <v/>
      </c>
      <c r="W503" s="39" t="str">
        <f>IFERROR(__xludf.DUMMYFUNCTION(" IF(Account!$F503&lt;&gt;"""", SPLIT(Account!$F503, "" ""), """")"),"")</f>
        <v/>
      </c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</row>
    <row r="504">
      <c r="A504" s="12"/>
      <c r="B504" s="12"/>
      <c r="C504" s="12"/>
      <c r="D504" s="12"/>
      <c r="E504" s="12"/>
      <c r="F504" s="13"/>
      <c r="G504" s="12"/>
      <c r="H504" s="12"/>
      <c r="I504" s="12"/>
      <c r="J504" s="12"/>
      <c r="K504" s="12"/>
      <c r="L504" s="13"/>
      <c r="M504" s="30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2" t="str">
        <f>IFERROR(__xludf.DUMMYFUNCTION("IF(Account!$F504&lt;&gt;"""", VALUE(REGEXREPLACE($I504, ""\,"", ""."")), """")"),"")</f>
        <v/>
      </c>
      <c r="O504" s="33" t="str">
        <f>IF(Account!$F504&lt;&gt;"", DATEVALUE(MID($A504,4,3) &amp; LEFT($A504,3) &amp; RIGHT($A504,4)) + TIMEVALUE($B504), "")</f>
        <v/>
      </c>
      <c r="P504" s="34" t="str">
        <f>IF(Account!$F504&lt;&gt;"", DATEVALUE(MID($C504,4,3) &amp; LEFT($C504,3) &amp; RIGHT($C504,4)), "")</f>
        <v/>
      </c>
      <c r="Q504" s="35" t="str">
        <f t="array" ref="Q504">IF($R504&lt;&gt;"",IFERROR(INDEX(ISIN!$B:$B,MATCH($R504,ISIN!$C:$C,0))),)</f>
        <v/>
      </c>
      <c r="R504" s="36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5" t="str">
        <f t="shared" si="1"/>
        <v/>
      </c>
      <c r="T504" s="37" t="str">
        <f t="shared" si="2"/>
        <v/>
      </c>
      <c r="U504" s="38" t="str">
        <f t="shared" si="3"/>
        <v/>
      </c>
      <c r="V504" s="32" t="str">
        <f t="shared" si="4"/>
        <v/>
      </c>
      <c r="W504" s="39" t="str">
        <f>IFERROR(__xludf.DUMMYFUNCTION(" IF(Account!$F504&lt;&gt;"""", SPLIT(Account!$F504, "" ""), """")"),"")</f>
        <v/>
      </c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</row>
    <row r="505">
      <c r="A505" s="12"/>
      <c r="B505" s="12"/>
      <c r="C505" s="12"/>
      <c r="D505" s="12"/>
      <c r="E505" s="12"/>
      <c r="F505" s="13"/>
      <c r="G505" s="291"/>
      <c r="H505" s="12"/>
      <c r="I505" s="12"/>
      <c r="J505" s="12"/>
      <c r="K505" s="12"/>
      <c r="L505" s="13"/>
      <c r="M505" s="30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2" t="str">
        <f>IFERROR(__xludf.DUMMYFUNCTION("IF(Account!$F505&lt;&gt;"""", VALUE(REGEXREPLACE($I505, ""\,"", ""."")), """")"),"")</f>
        <v/>
      </c>
      <c r="O505" s="33" t="str">
        <f>IF(Account!$F505&lt;&gt;"", DATEVALUE(MID($A505,4,3) &amp; LEFT($A505,3) &amp; RIGHT($A505,4)) + TIMEVALUE($B505), "")</f>
        <v/>
      </c>
      <c r="P505" s="34" t="str">
        <f>IF(Account!$F505&lt;&gt;"", DATEVALUE(MID($C505,4,3) &amp; LEFT($C505,3) &amp; RIGHT($C505,4)), "")</f>
        <v/>
      </c>
      <c r="Q505" s="35" t="str">
        <f t="array" ref="Q505">IF($R505&lt;&gt;"",IFERROR(INDEX(ISIN!$B:$B,MATCH($R505,ISIN!$C:$C,0))),)</f>
        <v/>
      </c>
      <c r="R505" s="36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5" t="str">
        <f t="shared" si="1"/>
        <v/>
      </c>
      <c r="T505" s="37" t="str">
        <f t="shared" si="2"/>
        <v/>
      </c>
      <c r="U505" s="38" t="str">
        <f t="shared" si="3"/>
        <v/>
      </c>
      <c r="V505" s="32" t="str">
        <f t="shared" si="4"/>
        <v/>
      </c>
      <c r="W505" s="39" t="str">
        <f>IFERROR(__xludf.DUMMYFUNCTION(" IF(Account!$F505&lt;&gt;"""", SPLIT(Account!$F505, "" ""), """")"),"")</f>
        <v/>
      </c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</row>
    <row r="506">
      <c r="A506" s="12"/>
      <c r="B506" s="12"/>
      <c r="C506" s="12"/>
      <c r="D506" s="12"/>
      <c r="E506" s="12"/>
      <c r="F506" s="13"/>
      <c r="G506" s="12"/>
      <c r="H506" s="12"/>
      <c r="I506" s="12"/>
      <c r="J506" s="12"/>
      <c r="K506" s="12"/>
      <c r="L506" s="13"/>
      <c r="M506" s="30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2" t="str">
        <f>IFERROR(__xludf.DUMMYFUNCTION("IF(Account!$F506&lt;&gt;"""", VALUE(REGEXREPLACE($I506, ""\,"", ""."")), """")"),"")</f>
        <v/>
      </c>
      <c r="O506" s="33" t="str">
        <f>IF(Account!$F506&lt;&gt;"", DATEVALUE(MID($A506,4,3) &amp; LEFT($A506,3) &amp; RIGHT($A506,4)) + TIMEVALUE($B506), "")</f>
        <v/>
      </c>
      <c r="P506" s="34" t="str">
        <f>IF(Account!$F506&lt;&gt;"", DATEVALUE(MID($C506,4,3) &amp; LEFT($C506,3) &amp; RIGHT($C506,4)), "")</f>
        <v/>
      </c>
      <c r="Q506" s="35" t="str">
        <f t="array" ref="Q506">IF($R506&lt;&gt;"",IFERROR(INDEX(ISIN!$B:$B,MATCH($R506,ISIN!$C:$C,0))),)</f>
        <v/>
      </c>
      <c r="R506" s="36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5" t="str">
        <f t="shared" si="1"/>
        <v/>
      </c>
      <c r="T506" s="37" t="str">
        <f t="shared" si="2"/>
        <v/>
      </c>
      <c r="U506" s="38" t="str">
        <f t="shared" si="3"/>
        <v/>
      </c>
      <c r="V506" s="32" t="str">
        <f t="shared" si="4"/>
        <v/>
      </c>
      <c r="W506" s="39" t="str">
        <f>IFERROR(__xludf.DUMMYFUNCTION(" IF(Account!$F506&lt;&gt;"""", SPLIT(Account!$F506, "" ""), """")"),"")</f>
        <v/>
      </c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</row>
    <row r="507">
      <c r="A507" s="12"/>
      <c r="B507" s="12"/>
      <c r="C507" s="12"/>
      <c r="D507" s="12"/>
      <c r="E507" s="12"/>
      <c r="F507" s="13"/>
      <c r="G507" s="291"/>
      <c r="H507" s="12"/>
      <c r="I507" s="12"/>
      <c r="J507" s="12"/>
      <c r="K507" s="12"/>
      <c r="L507" s="13"/>
      <c r="M507" s="30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2" t="str">
        <f>IFERROR(__xludf.DUMMYFUNCTION("IF(Account!$F507&lt;&gt;"""", VALUE(REGEXREPLACE($I507, ""\,"", ""."")), """")"),"")</f>
        <v/>
      </c>
      <c r="O507" s="33" t="str">
        <f>IF(Account!$F507&lt;&gt;"", DATEVALUE(MID($A507,4,3) &amp; LEFT($A507,3) &amp; RIGHT($A507,4)) + TIMEVALUE($B507), "")</f>
        <v/>
      </c>
      <c r="P507" s="34" t="str">
        <f>IF(Account!$F507&lt;&gt;"", DATEVALUE(MID($C507,4,3) &amp; LEFT($C507,3) &amp; RIGHT($C507,4)), "")</f>
        <v/>
      </c>
      <c r="Q507" s="35" t="str">
        <f t="array" ref="Q507">IF($R507&lt;&gt;"",IFERROR(INDEX(ISIN!$B:$B,MATCH($R507,ISIN!$C:$C,0))),)</f>
        <v/>
      </c>
      <c r="R507" s="36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5" t="str">
        <f t="shared" si="1"/>
        <v/>
      </c>
      <c r="T507" s="37" t="str">
        <f t="shared" si="2"/>
        <v/>
      </c>
      <c r="U507" s="38" t="str">
        <f t="shared" si="3"/>
        <v/>
      </c>
      <c r="V507" s="32" t="str">
        <f t="shared" si="4"/>
        <v/>
      </c>
      <c r="W507" s="39" t="str">
        <f>IFERROR(__xludf.DUMMYFUNCTION(" IF(Account!$F507&lt;&gt;"""", SPLIT(Account!$F507, "" ""), """")"),"")</f>
        <v/>
      </c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</row>
    <row r="508">
      <c r="A508" s="12"/>
      <c r="B508" s="12"/>
      <c r="C508" s="12"/>
      <c r="D508" s="12"/>
      <c r="E508" s="12"/>
      <c r="F508" s="13"/>
      <c r="G508" s="291"/>
      <c r="H508" s="12"/>
      <c r="I508" s="12"/>
      <c r="J508" s="12"/>
      <c r="K508" s="12"/>
      <c r="L508" s="13"/>
      <c r="M508" s="30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2" t="str">
        <f>IFERROR(__xludf.DUMMYFUNCTION("IF(Account!$F508&lt;&gt;"""", VALUE(REGEXREPLACE($I508, ""\,"", ""."")), """")"),"")</f>
        <v/>
      </c>
      <c r="O508" s="33" t="str">
        <f>IF(Account!$F508&lt;&gt;"", DATEVALUE(MID($A508,4,3) &amp; LEFT($A508,3) &amp; RIGHT($A508,4)) + TIMEVALUE($B508), "")</f>
        <v/>
      </c>
      <c r="P508" s="34" t="str">
        <f>IF(Account!$F508&lt;&gt;"", DATEVALUE(MID($C508,4,3) &amp; LEFT($C508,3) &amp; RIGHT($C508,4)), "")</f>
        <v/>
      </c>
      <c r="Q508" s="35" t="str">
        <f t="array" ref="Q508">IF($R508&lt;&gt;"",IFERROR(INDEX(ISIN!$B:$B,MATCH($R508,ISIN!$C:$C,0))),)</f>
        <v/>
      </c>
      <c r="R508" s="36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5" t="str">
        <f t="shared" si="1"/>
        <v/>
      </c>
      <c r="T508" s="37" t="str">
        <f t="shared" si="2"/>
        <v/>
      </c>
      <c r="U508" s="38" t="str">
        <f t="shared" si="3"/>
        <v/>
      </c>
      <c r="V508" s="32" t="str">
        <f t="shared" si="4"/>
        <v/>
      </c>
      <c r="W508" s="39" t="str">
        <f>IFERROR(__xludf.DUMMYFUNCTION(" IF(Account!$F508&lt;&gt;"""", SPLIT(Account!$F508, "" ""), """")"),"")</f>
        <v/>
      </c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</row>
    <row r="509">
      <c r="A509" s="12"/>
      <c r="B509" s="12"/>
      <c r="C509" s="12"/>
      <c r="D509" s="12"/>
      <c r="E509" s="12"/>
      <c r="F509" s="13"/>
      <c r="G509" s="12"/>
      <c r="H509" s="12"/>
      <c r="I509" s="12"/>
      <c r="J509" s="12"/>
      <c r="K509" s="12"/>
      <c r="L509" s="13"/>
      <c r="M509" s="30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2" t="str">
        <f>IFERROR(__xludf.DUMMYFUNCTION("IF(Account!$F509&lt;&gt;"""", VALUE(REGEXREPLACE($I509, ""\,"", ""."")), """")"),"")</f>
        <v/>
      </c>
      <c r="O509" s="33" t="str">
        <f>IF(Account!$F509&lt;&gt;"", DATEVALUE(MID($A509,4,3) &amp; LEFT($A509,3) &amp; RIGHT($A509,4)) + TIMEVALUE($B509), "")</f>
        <v/>
      </c>
      <c r="P509" s="34" t="str">
        <f>IF(Account!$F509&lt;&gt;"", DATEVALUE(MID($C509,4,3) &amp; LEFT($C509,3) &amp; RIGHT($C509,4)), "")</f>
        <v/>
      </c>
      <c r="Q509" s="35" t="str">
        <f t="array" ref="Q509">IF($R509&lt;&gt;"",IFERROR(INDEX(ISIN!$B:$B,MATCH($R509,ISIN!$C:$C,0))),)</f>
        <v/>
      </c>
      <c r="R509" s="36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5" t="str">
        <f t="shared" si="1"/>
        <v/>
      </c>
      <c r="T509" s="37" t="str">
        <f t="shared" si="2"/>
        <v/>
      </c>
      <c r="U509" s="38" t="str">
        <f t="shared" si="3"/>
        <v/>
      </c>
      <c r="V509" s="32" t="str">
        <f t="shared" si="4"/>
        <v/>
      </c>
      <c r="W509" s="39" t="str">
        <f>IFERROR(__xludf.DUMMYFUNCTION(" IF(Account!$F509&lt;&gt;"""", SPLIT(Account!$F509, "" ""), """")"),"")</f>
        <v/>
      </c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</row>
    <row r="510">
      <c r="A510" s="12"/>
      <c r="B510" s="12"/>
      <c r="C510" s="12"/>
      <c r="D510" s="12"/>
      <c r="E510" s="12"/>
      <c r="F510" s="13"/>
      <c r="G510" s="12"/>
      <c r="H510" s="12"/>
      <c r="I510" s="12"/>
      <c r="J510" s="12"/>
      <c r="K510" s="12"/>
      <c r="L510" s="13"/>
      <c r="M510" s="30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2" t="str">
        <f>IFERROR(__xludf.DUMMYFUNCTION("IF(Account!$F510&lt;&gt;"""", VALUE(REGEXREPLACE($I510, ""\,"", ""."")), """")"),"")</f>
        <v/>
      </c>
      <c r="O510" s="33" t="str">
        <f>IF(Account!$F510&lt;&gt;"", DATEVALUE(MID($A510,4,3) &amp; LEFT($A510,3) &amp; RIGHT($A510,4)) + TIMEVALUE($B510), "")</f>
        <v/>
      </c>
      <c r="P510" s="34" t="str">
        <f>IF(Account!$F510&lt;&gt;"", DATEVALUE(MID($C510,4,3) &amp; LEFT($C510,3) &amp; RIGHT($C510,4)), "")</f>
        <v/>
      </c>
      <c r="Q510" s="35" t="str">
        <f t="array" ref="Q510">IF($R510&lt;&gt;"",IFERROR(INDEX(ISIN!$B:$B,MATCH($R510,ISIN!$C:$C,0))),)</f>
        <v/>
      </c>
      <c r="R510" s="36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5" t="str">
        <f t="shared" si="1"/>
        <v/>
      </c>
      <c r="T510" s="37" t="str">
        <f t="shared" si="2"/>
        <v/>
      </c>
      <c r="U510" s="38" t="str">
        <f t="shared" si="3"/>
        <v/>
      </c>
      <c r="V510" s="32" t="str">
        <f t="shared" si="4"/>
        <v/>
      </c>
      <c r="W510" s="39" t="str">
        <f>IFERROR(__xludf.DUMMYFUNCTION(" IF(Account!$F510&lt;&gt;"""", SPLIT(Account!$F510, "" ""), """")"),"")</f>
        <v/>
      </c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</row>
    <row r="511">
      <c r="A511" s="12"/>
      <c r="B511" s="12"/>
      <c r="C511" s="12"/>
      <c r="D511" s="12"/>
      <c r="E511" s="12"/>
      <c r="F511" s="13"/>
      <c r="G511" s="12"/>
      <c r="H511" s="12"/>
      <c r="I511" s="12"/>
      <c r="J511" s="12"/>
      <c r="K511" s="12"/>
      <c r="L511" s="13"/>
      <c r="M511" s="30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2" t="str">
        <f>IFERROR(__xludf.DUMMYFUNCTION("IF(Account!$F511&lt;&gt;"""", VALUE(REGEXREPLACE($I511, ""\,"", ""."")), """")"),"")</f>
        <v/>
      </c>
      <c r="O511" s="33" t="str">
        <f>IF(Account!$F511&lt;&gt;"", DATEVALUE(MID($A511,4,3) &amp; LEFT($A511,3) &amp; RIGHT($A511,4)) + TIMEVALUE($B511), "")</f>
        <v/>
      </c>
      <c r="P511" s="34" t="str">
        <f>IF(Account!$F511&lt;&gt;"", DATEVALUE(MID($C511,4,3) &amp; LEFT($C511,3) &amp; RIGHT($C511,4)), "")</f>
        <v/>
      </c>
      <c r="Q511" s="35" t="str">
        <f t="array" ref="Q511">IF($R511&lt;&gt;"",IFERROR(INDEX(ISIN!$B:$B,MATCH($R511,ISIN!$C:$C,0))),)</f>
        <v/>
      </c>
      <c r="R511" s="36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5" t="str">
        <f t="shared" si="1"/>
        <v/>
      </c>
      <c r="T511" s="37" t="str">
        <f t="shared" si="2"/>
        <v/>
      </c>
      <c r="U511" s="38" t="str">
        <f t="shared" si="3"/>
        <v/>
      </c>
      <c r="V511" s="32" t="str">
        <f t="shared" si="4"/>
        <v/>
      </c>
      <c r="W511" s="39" t="str">
        <f>IFERROR(__xludf.DUMMYFUNCTION(" IF(Account!$F511&lt;&gt;"""", SPLIT(Account!$F511, "" ""), """")"),"")</f>
        <v/>
      </c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</row>
    <row r="512">
      <c r="A512" s="12"/>
      <c r="B512" s="12"/>
      <c r="C512" s="12"/>
      <c r="D512" s="12"/>
      <c r="E512" s="12"/>
      <c r="F512" s="13"/>
      <c r="G512" s="12"/>
      <c r="H512" s="12"/>
      <c r="I512" s="12"/>
      <c r="J512" s="12"/>
      <c r="K512" s="12"/>
      <c r="L512" s="13"/>
      <c r="M512" s="30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2" t="str">
        <f>IFERROR(__xludf.DUMMYFUNCTION("IF(Account!$F512&lt;&gt;"""", VALUE(REGEXREPLACE($I512, ""\,"", ""."")), """")"),"")</f>
        <v/>
      </c>
      <c r="O512" s="33" t="str">
        <f>IF(Account!$F512&lt;&gt;"", DATEVALUE(MID($A512,4,3) &amp; LEFT($A512,3) &amp; RIGHT($A512,4)) + TIMEVALUE($B512), "")</f>
        <v/>
      </c>
      <c r="P512" s="34" t="str">
        <f>IF(Account!$F512&lt;&gt;"", DATEVALUE(MID($C512,4,3) &amp; LEFT($C512,3) &amp; RIGHT($C512,4)), "")</f>
        <v/>
      </c>
      <c r="Q512" s="35" t="str">
        <f t="array" ref="Q512">IF($R512&lt;&gt;"",IFERROR(INDEX(ISIN!$B:$B,MATCH($R512,ISIN!$C:$C,0))),)</f>
        <v/>
      </c>
      <c r="R512" s="36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5" t="str">
        <f t="shared" si="1"/>
        <v/>
      </c>
      <c r="T512" s="37" t="str">
        <f t="shared" si="2"/>
        <v/>
      </c>
      <c r="U512" s="38" t="str">
        <f t="shared" si="3"/>
        <v/>
      </c>
      <c r="V512" s="32" t="str">
        <f t="shared" si="4"/>
        <v/>
      </c>
      <c r="W512" s="39" t="str">
        <f>IFERROR(__xludf.DUMMYFUNCTION(" IF(Account!$F512&lt;&gt;"""", SPLIT(Account!$F512, "" ""), """")"),"")</f>
        <v/>
      </c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</row>
    <row r="513">
      <c r="A513" s="12"/>
      <c r="B513" s="12"/>
      <c r="C513" s="12"/>
      <c r="D513" s="12"/>
      <c r="E513" s="12"/>
      <c r="F513" s="13"/>
      <c r="G513" s="291"/>
      <c r="H513" s="12"/>
      <c r="I513" s="12"/>
      <c r="J513" s="12"/>
      <c r="K513" s="12"/>
      <c r="L513" s="13"/>
      <c r="M513" s="30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2" t="str">
        <f>IFERROR(__xludf.DUMMYFUNCTION("IF(Account!$F513&lt;&gt;"""", VALUE(REGEXREPLACE($I513, ""\,"", ""."")), """")"),"")</f>
        <v/>
      </c>
      <c r="O513" s="33" t="str">
        <f>IF(Account!$F513&lt;&gt;"", DATEVALUE(MID($A513,4,3) &amp; LEFT($A513,3) &amp; RIGHT($A513,4)) + TIMEVALUE($B513), "")</f>
        <v/>
      </c>
      <c r="P513" s="34" t="str">
        <f>IF(Account!$F513&lt;&gt;"", DATEVALUE(MID($C513,4,3) &amp; LEFT($C513,3) &amp; RIGHT($C513,4)), "")</f>
        <v/>
      </c>
      <c r="Q513" s="35" t="str">
        <f t="array" ref="Q513">IF($R513&lt;&gt;"",IFERROR(INDEX(ISIN!$B:$B,MATCH($R513,ISIN!$C:$C,0))),)</f>
        <v/>
      </c>
      <c r="R513" s="36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5" t="str">
        <f t="shared" si="1"/>
        <v/>
      </c>
      <c r="T513" s="37" t="str">
        <f t="shared" si="2"/>
        <v/>
      </c>
      <c r="U513" s="38" t="str">
        <f t="shared" si="3"/>
        <v/>
      </c>
      <c r="V513" s="32" t="str">
        <f t="shared" si="4"/>
        <v/>
      </c>
      <c r="W513" s="39" t="str">
        <f>IFERROR(__xludf.DUMMYFUNCTION(" IF(Account!$F513&lt;&gt;"""", SPLIT(Account!$F513, "" ""), """")"),"")</f>
        <v/>
      </c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</row>
    <row r="514">
      <c r="A514" s="12"/>
      <c r="B514" s="12"/>
      <c r="C514" s="12"/>
      <c r="D514" s="12"/>
      <c r="E514" s="12"/>
      <c r="F514" s="13"/>
      <c r="G514" s="12"/>
      <c r="H514" s="12"/>
      <c r="I514" s="12"/>
      <c r="J514" s="12"/>
      <c r="K514" s="12"/>
      <c r="L514" s="13"/>
      <c r="M514" s="30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2" t="str">
        <f>IFERROR(__xludf.DUMMYFUNCTION("IF(Account!$F514&lt;&gt;"""", VALUE(REGEXREPLACE($I514, ""\,"", ""."")), """")"),"")</f>
        <v/>
      </c>
      <c r="O514" s="33" t="str">
        <f>IF(Account!$F514&lt;&gt;"", DATEVALUE(MID($A514,4,3) &amp; LEFT($A514,3) &amp; RIGHT($A514,4)) + TIMEVALUE($B514), "")</f>
        <v/>
      </c>
      <c r="P514" s="34" t="str">
        <f>IF(Account!$F514&lt;&gt;"", DATEVALUE(MID($C514,4,3) &amp; LEFT($C514,3) &amp; RIGHT($C514,4)), "")</f>
        <v/>
      </c>
      <c r="Q514" s="35" t="str">
        <f t="array" ref="Q514">IF($R514&lt;&gt;"",IFERROR(INDEX(ISIN!$B:$B,MATCH($R514,ISIN!$C:$C,0))),)</f>
        <v/>
      </c>
      <c r="R514" s="36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5" t="str">
        <f t="shared" si="1"/>
        <v/>
      </c>
      <c r="T514" s="37" t="str">
        <f t="shared" si="2"/>
        <v/>
      </c>
      <c r="U514" s="38" t="str">
        <f t="shared" si="3"/>
        <v/>
      </c>
      <c r="V514" s="32" t="str">
        <f t="shared" si="4"/>
        <v/>
      </c>
      <c r="W514" s="39" t="str">
        <f>IFERROR(__xludf.DUMMYFUNCTION(" IF(Account!$F514&lt;&gt;"""", SPLIT(Account!$F514, "" ""), """")"),"")</f>
        <v/>
      </c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</row>
    <row r="515">
      <c r="A515" s="12"/>
      <c r="B515" s="12"/>
      <c r="C515" s="12"/>
      <c r="D515" s="12"/>
      <c r="E515" s="12"/>
      <c r="F515" s="13"/>
      <c r="G515" s="291"/>
      <c r="H515" s="12"/>
      <c r="I515" s="12"/>
      <c r="J515" s="12"/>
      <c r="K515" s="12"/>
      <c r="L515" s="13"/>
      <c r="M515" s="30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2" t="str">
        <f>IFERROR(__xludf.DUMMYFUNCTION("IF(Account!$F515&lt;&gt;"""", VALUE(REGEXREPLACE($I515, ""\,"", ""."")), """")"),"")</f>
        <v/>
      </c>
      <c r="O515" s="33" t="str">
        <f>IF(Account!$F515&lt;&gt;"", DATEVALUE(MID($A515,4,3) &amp; LEFT($A515,3) &amp; RIGHT($A515,4)) + TIMEVALUE($B515), "")</f>
        <v/>
      </c>
      <c r="P515" s="34" t="str">
        <f>IF(Account!$F515&lt;&gt;"", DATEVALUE(MID($C515,4,3) &amp; LEFT($C515,3) &amp; RIGHT($C515,4)), "")</f>
        <v/>
      </c>
      <c r="Q515" s="35" t="str">
        <f t="array" ref="Q515">IF($R515&lt;&gt;"",IFERROR(INDEX(ISIN!$B:$B,MATCH($R515,ISIN!$C:$C,0))),)</f>
        <v/>
      </c>
      <c r="R515" s="36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5" t="str">
        <f t="shared" si="1"/>
        <v/>
      </c>
      <c r="T515" s="37" t="str">
        <f t="shared" si="2"/>
        <v/>
      </c>
      <c r="U515" s="38" t="str">
        <f t="shared" si="3"/>
        <v/>
      </c>
      <c r="V515" s="32" t="str">
        <f t="shared" si="4"/>
        <v/>
      </c>
      <c r="W515" s="39" t="str">
        <f>IFERROR(__xludf.DUMMYFUNCTION(" IF(Account!$F515&lt;&gt;"""", SPLIT(Account!$F515, "" ""), """")"),"")</f>
        <v/>
      </c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</row>
    <row r="516">
      <c r="A516" s="12"/>
      <c r="B516" s="12"/>
      <c r="C516" s="12"/>
      <c r="D516" s="12"/>
      <c r="E516" s="12"/>
      <c r="F516" s="13"/>
      <c r="G516" s="12"/>
      <c r="H516" s="12"/>
      <c r="I516" s="12"/>
      <c r="J516" s="12"/>
      <c r="K516" s="12"/>
      <c r="L516" s="13"/>
      <c r="M516" s="30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2" t="str">
        <f>IFERROR(__xludf.DUMMYFUNCTION("IF(Account!$F516&lt;&gt;"""", VALUE(REGEXREPLACE($I516, ""\,"", ""."")), """")"),"")</f>
        <v/>
      </c>
      <c r="O516" s="33" t="str">
        <f>IF(Account!$F516&lt;&gt;"", DATEVALUE(MID($A516,4,3) &amp; LEFT($A516,3) &amp; RIGHT($A516,4)) + TIMEVALUE($B516), "")</f>
        <v/>
      </c>
      <c r="P516" s="34" t="str">
        <f>IF(Account!$F516&lt;&gt;"", DATEVALUE(MID($C516,4,3) &amp; LEFT($C516,3) &amp; RIGHT($C516,4)), "")</f>
        <v/>
      </c>
      <c r="Q516" s="35" t="str">
        <f t="array" ref="Q516">IF($R516&lt;&gt;"",IFERROR(INDEX(ISIN!$B:$B,MATCH($R516,ISIN!$C:$C,0))),)</f>
        <v/>
      </c>
      <c r="R516" s="36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5" t="str">
        <f t="shared" si="1"/>
        <v/>
      </c>
      <c r="T516" s="37" t="str">
        <f t="shared" si="2"/>
        <v/>
      </c>
      <c r="U516" s="38" t="str">
        <f t="shared" si="3"/>
        <v/>
      </c>
      <c r="V516" s="32" t="str">
        <f t="shared" si="4"/>
        <v/>
      </c>
      <c r="W516" s="39" t="str">
        <f>IFERROR(__xludf.DUMMYFUNCTION(" IF(Account!$F516&lt;&gt;"""", SPLIT(Account!$F516, "" ""), """")"),"")</f>
        <v/>
      </c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</row>
    <row r="517">
      <c r="A517" s="12"/>
      <c r="B517" s="12"/>
      <c r="C517" s="12"/>
      <c r="D517" s="12"/>
      <c r="E517" s="12"/>
      <c r="F517" s="13"/>
      <c r="G517" s="291"/>
      <c r="H517" s="12"/>
      <c r="I517" s="12"/>
      <c r="J517" s="12"/>
      <c r="K517" s="12"/>
      <c r="L517" s="13"/>
      <c r="M517" s="30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2" t="str">
        <f>IFERROR(__xludf.DUMMYFUNCTION("IF(Account!$F517&lt;&gt;"""", VALUE(REGEXREPLACE($I517, ""\,"", ""."")), """")"),"")</f>
        <v/>
      </c>
      <c r="O517" s="33" t="str">
        <f>IF(Account!$F517&lt;&gt;"", DATEVALUE(MID($A517,4,3) &amp; LEFT($A517,3) &amp; RIGHT($A517,4)) + TIMEVALUE($B517), "")</f>
        <v/>
      </c>
      <c r="P517" s="34" t="str">
        <f>IF(Account!$F517&lt;&gt;"", DATEVALUE(MID($C517,4,3) &amp; LEFT($C517,3) &amp; RIGHT($C517,4)), "")</f>
        <v/>
      </c>
      <c r="Q517" s="35" t="str">
        <f t="array" ref="Q517">IF($R517&lt;&gt;"",IFERROR(INDEX(ISIN!$B:$B,MATCH($R517,ISIN!$C:$C,0))),)</f>
        <v/>
      </c>
      <c r="R517" s="36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5" t="str">
        <f t="shared" si="1"/>
        <v/>
      </c>
      <c r="T517" s="37" t="str">
        <f t="shared" si="2"/>
        <v/>
      </c>
      <c r="U517" s="38" t="str">
        <f t="shared" si="3"/>
        <v/>
      </c>
      <c r="V517" s="32" t="str">
        <f t="shared" si="4"/>
        <v/>
      </c>
      <c r="W517" s="39" t="str">
        <f>IFERROR(__xludf.DUMMYFUNCTION(" IF(Account!$F517&lt;&gt;"""", SPLIT(Account!$F517, "" ""), """")"),"")</f>
        <v/>
      </c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</row>
    <row r="518">
      <c r="A518" s="12"/>
      <c r="B518" s="12"/>
      <c r="C518" s="12"/>
      <c r="D518" s="12"/>
      <c r="E518" s="12"/>
      <c r="F518" s="13"/>
      <c r="G518" s="291"/>
      <c r="H518" s="12"/>
      <c r="I518" s="12"/>
      <c r="J518" s="12"/>
      <c r="K518" s="12"/>
      <c r="L518" s="13"/>
      <c r="M518" s="30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2" t="str">
        <f>IFERROR(__xludf.DUMMYFUNCTION("IF(Account!$F518&lt;&gt;"""", VALUE(REGEXREPLACE($I518, ""\,"", ""."")), """")"),"")</f>
        <v/>
      </c>
      <c r="O518" s="33" t="str">
        <f>IF(Account!$F518&lt;&gt;"", DATEVALUE(MID($A518,4,3) &amp; LEFT($A518,3) &amp; RIGHT($A518,4)) + TIMEVALUE($B518), "")</f>
        <v/>
      </c>
      <c r="P518" s="34" t="str">
        <f>IF(Account!$F518&lt;&gt;"", DATEVALUE(MID($C518,4,3) &amp; LEFT($C518,3) &amp; RIGHT($C518,4)), "")</f>
        <v/>
      </c>
      <c r="Q518" s="35" t="str">
        <f t="array" ref="Q518">IF($R518&lt;&gt;"",IFERROR(INDEX(ISIN!$B:$B,MATCH($R518,ISIN!$C:$C,0))),)</f>
        <v/>
      </c>
      <c r="R518" s="36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5" t="str">
        <f t="shared" si="1"/>
        <v/>
      </c>
      <c r="T518" s="37" t="str">
        <f t="shared" si="2"/>
        <v/>
      </c>
      <c r="U518" s="38" t="str">
        <f t="shared" si="3"/>
        <v/>
      </c>
      <c r="V518" s="32" t="str">
        <f t="shared" si="4"/>
        <v/>
      </c>
      <c r="W518" s="39" t="str">
        <f>IFERROR(__xludf.DUMMYFUNCTION(" IF(Account!$F518&lt;&gt;"""", SPLIT(Account!$F518, "" ""), """")"),"")</f>
        <v/>
      </c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</row>
    <row r="519">
      <c r="A519" s="12"/>
      <c r="B519" s="12"/>
      <c r="C519" s="12"/>
      <c r="D519" s="12"/>
      <c r="E519" s="12"/>
      <c r="F519" s="13"/>
      <c r="G519" s="291"/>
      <c r="H519" s="12"/>
      <c r="I519" s="12"/>
      <c r="J519" s="12"/>
      <c r="K519" s="12"/>
      <c r="L519" s="13"/>
      <c r="M519" s="30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2" t="str">
        <f>IFERROR(__xludf.DUMMYFUNCTION("IF(Account!$F519&lt;&gt;"""", VALUE(REGEXREPLACE($I519, ""\,"", ""."")), """")"),"")</f>
        <v/>
      </c>
      <c r="O519" s="33" t="str">
        <f>IF(Account!$F519&lt;&gt;"", DATEVALUE(MID($A519,4,3) &amp; LEFT($A519,3) &amp; RIGHT($A519,4)) + TIMEVALUE($B519), "")</f>
        <v/>
      </c>
      <c r="P519" s="34" t="str">
        <f>IF(Account!$F519&lt;&gt;"", DATEVALUE(MID($C519,4,3) &amp; LEFT($C519,3) &amp; RIGHT($C519,4)), "")</f>
        <v/>
      </c>
      <c r="Q519" s="35" t="str">
        <f t="array" ref="Q519">IF($R519&lt;&gt;"",IFERROR(INDEX(ISIN!$B:$B,MATCH($R519,ISIN!$C:$C,0))),)</f>
        <v/>
      </c>
      <c r="R519" s="36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5" t="str">
        <f t="shared" si="1"/>
        <v/>
      </c>
      <c r="T519" s="37" t="str">
        <f t="shared" si="2"/>
        <v/>
      </c>
      <c r="U519" s="38" t="str">
        <f t="shared" si="3"/>
        <v/>
      </c>
      <c r="V519" s="32" t="str">
        <f t="shared" si="4"/>
        <v/>
      </c>
      <c r="W519" s="39" t="str">
        <f>IFERROR(__xludf.DUMMYFUNCTION(" IF(Account!$F519&lt;&gt;"""", SPLIT(Account!$F519, "" ""), """")"),"")</f>
        <v/>
      </c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</row>
    <row r="520">
      <c r="A520" s="12"/>
      <c r="B520" s="12"/>
      <c r="C520" s="12"/>
      <c r="D520" s="12"/>
      <c r="E520" s="12"/>
      <c r="F520" s="13"/>
      <c r="G520" s="291"/>
      <c r="H520" s="12"/>
      <c r="I520" s="12"/>
      <c r="J520" s="12"/>
      <c r="K520" s="12"/>
      <c r="L520" s="13"/>
      <c r="M520" s="30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2" t="str">
        <f>IFERROR(__xludf.DUMMYFUNCTION("IF(Account!$F520&lt;&gt;"""", VALUE(REGEXREPLACE($I520, ""\,"", ""."")), """")"),"")</f>
        <v/>
      </c>
      <c r="O520" s="33" t="str">
        <f>IF(Account!$F520&lt;&gt;"", DATEVALUE(MID($A520,4,3) &amp; LEFT($A520,3) &amp; RIGHT($A520,4)) + TIMEVALUE($B520), "")</f>
        <v/>
      </c>
      <c r="P520" s="34" t="str">
        <f>IF(Account!$F520&lt;&gt;"", DATEVALUE(MID($C520,4,3) &amp; LEFT($C520,3) &amp; RIGHT($C520,4)), "")</f>
        <v/>
      </c>
      <c r="Q520" s="35" t="str">
        <f t="array" ref="Q520">IF($R520&lt;&gt;"",IFERROR(INDEX(ISIN!$B:$B,MATCH($R520,ISIN!$C:$C,0))),)</f>
        <v/>
      </c>
      <c r="R520" s="36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5" t="str">
        <f t="shared" si="1"/>
        <v/>
      </c>
      <c r="T520" s="37" t="str">
        <f t="shared" si="2"/>
        <v/>
      </c>
      <c r="U520" s="38" t="str">
        <f t="shared" si="3"/>
        <v/>
      </c>
      <c r="V520" s="32" t="str">
        <f t="shared" si="4"/>
        <v/>
      </c>
      <c r="W520" s="39" t="str">
        <f>IFERROR(__xludf.DUMMYFUNCTION(" IF(Account!$F520&lt;&gt;"""", SPLIT(Account!$F520, "" ""), """")"),"")</f>
        <v/>
      </c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</row>
    <row r="521">
      <c r="A521" s="12"/>
      <c r="B521" s="12"/>
      <c r="C521" s="12"/>
      <c r="D521" s="12"/>
      <c r="E521" s="12"/>
      <c r="F521" s="13"/>
      <c r="G521" s="291"/>
      <c r="H521" s="12"/>
      <c r="I521" s="12"/>
      <c r="J521" s="12"/>
      <c r="K521" s="12"/>
      <c r="L521" s="13"/>
      <c r="M521" s="30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2" t="str">
        <f>IFERROR(__xludf.DUMMYFUNCTION("IF(Account!$F521&lt;&gt;"""", VALUE(REGEXREPLACE($I521, ""\,"", ""."")), """")"),"")</f>
        <v/>
      </c>
      <c r="O521" s="33" t="str">
        <f>IF(Account!$F521&lt;&gt;"", DATEVALUE(MID($A521,4,3) &amp; LEFT($A521,3) &amp; RIGHT($A521,4)) + TIMEVALUE($B521), "")</f>
        <v/>
      </c>
      <c r="P521" s="34" t="str">
        <f>IF(Account!$F521&lt;&gt;"", DATEVALUE(MID($C521,4,3) &amp; LEFT($C521,3) &amp; RIGHT($C521,4)), "")</f>
        <v/>
      </c>
      <c r="Q521" s="35" t="str">
        <f t="array" ref="Q521">IF($R521&lt;&gt;"",IFERROR(INDEX(ISIN!$B:$B,MATCH($R521,ISIN!$C:$C,0))),)</f>
        <v/>
      </c>
      <c r="R521" s="36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5" t="str">
        <f t="shared" si="1"/>
        <v/>
      </c>
      <c r="T521" s="37" t="str">
        <f t="shared" si="2"/>
        <v/>
      </c>
      <c r="U521" s="38" t="str">
        <f t="shared" si="3"/>
        <v/>
      </c>
      <c r="V521" s="32" t="str">
        <f t="shared" si="4"/>
        <v/>
      </c>
      <c r="W521" s="39" t="str">
        <f>IFERROR(__xludf.DUMMYFUNCTION(" IF(Account!$F521&lt;&gt;"""", SPLIT(Account!$F521, "" ""), """")"),"")</f>
        <v/>
      </c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</row>
    <row r="522">
      <c r="A522" s="12"/>
      <c r="B522" s="12"/>
      <c r="C522" s="12"/>
      <c r="D522" s="12"/>
      <c r="E522" s="12"/>
      <c r="F522" s="13"/>
      <c r="G522" s="12"/>
      <c r="H522" s="12"/>
      <c r="I522" s="12"/>
      <c r="J522" s="12"/>
      <c r="K522" s="12"/>
      <c r="L522" s="13"/>
      <c r="M522" s="30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2" t="str">
        <f>IFERROR(__xludf.DUMMYFUNCTION("IF(Account!$F522&lt;&gt;"""", VALUE(REGEXREPLACE($I522, ""\,"", ""."")), """")"),"")</f>
        <v/>
      </c>
      <c r="O522" s="33" t="str">
        <f>IF(Account!$F522&lt;&gt;"", DATEVALUE(MID($A522,4,3) &amp; LEFT($A522,3) &amp; RIGHT($A522,4)) + TIMEVALUE($B522), "")</f>
        <v/>
      </c>
      <c r="P522" s="34" t="str">
        <f>IF(Account!$F522&lt;&gt;"", DATEVALUE(MID($C522,4,3) &amp; LEFT($C522,3) &amp; RIGHT($C522,4)), "")</f>
        <v/>
      </c>
      <c r="Q522" s="35" t="str">
        <f t="array" ref="Q522">IF($R522&lt;&gt;"",IFERROR(INDEX(ISIN!$B:$B,MATCH($R522,ISIN!$C:$C,0))),)</f>
        <v/>
      </c>
      <c r="R522" s="36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5" t="str">
        <f t="shared" si="1"/>
        <v/>
      </c>
      <c r="T522" s="37" t="str">
        <f t="shared" si="2"/>
        <v/>
      </c>
      <c r="U522" s="38" t="str">
        <f t="shared" si="3"/>
        <v/>
      </c>
      <c r="V522" s="32" t="str">
        <f t="shared" si="4"/>
        <v/>
      </c>
      <c r="W522" s="39" t="str">
        <f>IFERROR(__xludf.DUMMYFUNCTION(" IF(Account!$F522&lt;&gt;"""", SPLIT(Account!$F522, "" ""), """")"),"")</f>
        <v/>
      </c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</row>
    <row r="523">
      <c r="A523" s="12"/>
      <c r="B523" s="12"/>
      <c r="C523" s="12"/>
      <c r="D523" s="12"/>
      <c r="E523" s="12"/>
      <c r="F523" s="13"/>
      <c r="G523" s="291"/>
      <c r="H523" s="12"/>
      <c r="I523" s="12"/>
      <c r="J523" s="12"/>
      <c r="K523" s="12"/>
      <c r="L523" s="13"/>
      <c r="M523" s="30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2" t="str">
        <f>IFERROR(__xludf.DUMMYFUNCTION("IF(Account!$F523&lt;&gt;"""", VALUE(REGEXREPLACE($I523, ""\,"", ""."")), """")"),"")</f>
        <v/>
      </c>
      <c r="O523" s="33" t="str">
        <f>IF(Account!$F523&lt;&gt;"", DATEVALUE(MID($A523,4,3) &amp; LEFT($A523,3) &amp; RIGHT($A523,4)) + TIMEVALUE($B523), "")</f>
        <v/>
      </c>
      <c r="P523" s="34" t="str">
        <f>IF(Account!$F523&lt;&gt;"", DATEVALUE(MID($C523,4,3) &amp; LEFT($C523,3) &amp; RIGHT($C523,4)), "")</f>
        <v/>
      </c>
      <c r="Q523" s="35" t="str">
        <f t="array" ref="Q523">IF($R523&lt;&gt;"",IFERROR(INDEX(ISIN!$B:$B,MATCH($R523,ISIN!$C:$C,0))),)</f>
        <v/>
      </c>
      <c r="R523" s="36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5" t="str">
        <f t="shared" si="1"/>
        <v/>
      </c>
      <c r="T523" s="37" t="str">
        <f t="shared" si="2"/>
        <v/>
      </c>
      <c r="U523" s="38" t="str">
        <f t="shared" si="3"/>
        <v/>
      </c>
      <c r="V523" s="32" t="str">
        <f t="shared" si="4"/>
        <v/>
      </c>
      <c r="W523" s="39" t="str">
        <f>IFERROR(__xludf.DUMMYFUNCTION(" IF(Account!$F523&lt;&gt;"""", SPLIT(Account!$F523, "" ""), """")"),"")</f>
        <v/>
      </c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</row>
    <row r="524">
      <c r="A524" s="12"/>
      <c r="B524" s="12"/>
      <c r="C524" s="12"/>
      <c r="D524" s="12"/>
      <c r="E524" s="12"/>
      <c r="F524" s="13"/>
      <c r="G524" s="291"/>
      <c r="H524" s="12"/>
      <c r="I524" s="12"/>
      <c r="J524" s="12"/>
      <c r="K524" s="12"/>
      <c r="L524" s="13"/>
      <c r="M524" s="30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2" t="str">
        <f>IFERROR(__xludf.DUMMYFUNCTION("IF(Account!$F524&lt;&gt;"""", VALUE(REGEXREPLACE($I524, ""\,"", ""."")), """")"),"")</f>
        <v/>
      </c>
      <c r="O524" s="33" t="str">
        <f>IF(Account!$F524&lt;&gt;"", DATEVALUE(MID($A524,4,3) &amp; LEFT($A524,3) &amp; RIGHT($A524,4)) + TIMEVALUE($B524), "")</f>
        <v/>
      </c>
      <c r="P524" s="34" t="str">
        <f>IF(Account!$F524&lt;&gt;"", DATEVALUE(MID($C524,4,3) &amp; LEFT($C524,3) &amp; RIGHT($C524,4)), "")</f>
        <v/>
      </c>
      <c r="Q524" s="35" t="str">
        <f t="array" ref="Q524">IF($R524&lt;&gt;"",IFERROR(INDEX(ISIN!$B:$B,MATCH($R524,ISIN!$C:$C,0))),)</f>
        <v/>
      </c>
      <c r="R524" s="36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5" t="str">
        <f t="shared" si="1"/>
        <v/>
      </c>
      <c r="T524" s="37" t="str">
        <f t="shared" si="2"/>
        <v/>
      </c>
      <c r="U524" s="38" t="str">
        <f t="shared" si="3"/>
        <v/>
      </c>
      <c r="V524" s="32" t="str">
        <f t="shared" si="4"/>
        <v/>
      </c>
      <c r="W524" s="39" t="str">
        <f>IFERROR(__xludf.DUMMYFUNCTION(" IF(Account!$F524&lt;&gt;"""", SPLIT(Account!$F524, "" ""), """")"),"")</f>
        <v/>
      </c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</row>
    <row r="525">
      <c r="A525" s="12"/>
      <c r="B525" s="12"/>
      <c r="C525" s="12"/>
      <c r="D525" s="12"/>
      <c r="E525" s="12"/>
      <c r="F525" s="13"/>
      <c r="G525" s="12"/>
      <c r="H525" s="12"/>
      <c r="I525" s="12"/>
      <c r="J525" s="12"/>
      <c r="K525" s="12"/>
      <c r="L525" s="13"/>
      <c r="M525" s="30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2" t="str">
        <f>IFERROR(__xludf.DUMMYFUNCTION("IF(Account!$F525&lt;&gt;"""", VALUE(REGEXREPLACE($I525, ""\,"", ""."")), """")"),"")</f>
        <v/>
      </c>
      <c r="O525" s="33" t="str">
        <f>IF(Account!$F525&lt;&gt;"", DATEVALUE(MID($A525,4,3) &amp; LEFT($A525,3) &amp; RIGHT($A525,4)) + TIMEVALUE($B525), "")</f>
        <v/>
      </c>
      <c r="P525" s="34" t="str">
        <f>IF(Account!$F525&lt;&gt;"", DATEVALUE(MID($C525,4,3) &amp; LEFT($C525,3) &amp; RIGHT($C525,4)), "")</f>
        <v/>
      </c>
      <c r="Q525" s="35" t="str">
        <f t="array" ref="Q525">IF($R525&lt;&gt;"",IFERROR(INDEX(ISIN!$B:$B,MATCH($R525,ISIN!$C:$C,0))),)</f>
        <v/>
      </c>
      <c r="R525" s="36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5" t="str">
        <f t="shared" si="1"/>
        <v/>
      </c>
      <c r="T525" s="37" t="str">
        <f t="shared" si="2"/>
        <v/>
      </c>
      <c r="U525" s="38" t="str">
        <f t="shared" si="3"/>
        <v/>
      </c>
      <c r="V525" s="32" t="str">
        <f t="shared" si="4"/>
        <v/>
      </c>
      <c r="W525" s="39" t="str">
        <f>IFERROR(__xludf.DUMMYFUNCTION(" IF(Account!$F525&lt;&gt;"""", SPLIT(Account!$F525, "" ""), """")"),"")</f>
        <v/>
      </c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</row>
    <row r="526">
      <c r="A526" s="12"/>
      <c r="B526" s="12"/>
      <c r="C526" s="12"/>
      <c r="D526" s="12"/>
      <c r="E526" s="12"/>
      <c r="F526" s="13"/>
      <c r="G526" s="291"/>
      <c r="H526" s="12"/>
      <c r="I526" s="12"/>
      <c r="J526" s="12"/>
      <c r="K526" s="12"/>
      <c r="L526" s="13"/>
      <c r="M526" s="30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2" t="str">
        <f>IFERROR(__xludf.DUMMYFUNCTION("IF(Account!$F526&lt;&gt;"""", VALUE(REGEXREPLACE($I526, ""\,"", ""."")), """")"),"")</f>
        <v/>
      </c>
      <c r="O526" s="33" t="str">
        <f>IF(Account!$F526&lt;&gt;"", DATEVALUE(MID($A526,4,3) &amp; LEFT($A526,3) &amp; RIGHT($A526,4)) + TIMEVALUE($B526), "")</f>
        <v/>
      </c>
      <c r="P526" s="34" t="str">
        <f>IF(Account!$F526&lt;&gt;"", DATEVALUE(MID($C526,4,3) &amp; LEFT($C526,3) &amp; RIGHT($C526,4)), "")</f>
        <v/>
      </c>
      <c r="Q526" s="35" t="str">
        <f t="array" ref="Q526">IF($R526&lt;&gt;"",IFERROR(INDEX(ISIN!$B:$B,MATCH($R526,ISIN!$C:$C,0))),)</f>
        <v/>
      </c>
      <c r="R526" s="36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5" t="str">
        <f t="shared" si="1"/>
        <v/>
      </c>
      <c r="T526" s="37" t="str">
        <f t="shared" si="2"/>
        <v/>
      </c>
      <c r="U526" s="38" t="str">
        <f t="shared" si="3"/>
        <v/>
      </c>
      <c r="V526" s="32" t="str">
        <f t="shared" si="4"/>
        <v/>
      </c>
      <c r="W526" s="39" t="str">
        <f>IFERROR(__xludf.DUMMYFUNCTION(" IF(Account!$F526&lt;&gt;"""", SPLIT(Account!$F526, "" ""), """")"),"")</f>
        <v/>
      </c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</row>
    <row r="527">
      <c r="A527" s="12"/>
      <c r="B527" s="12"/>
      <c r="C527" s="12"/>
      <c r="D527" s="12"/>
      <c r="E527" s="12"/>
      <c r="F527" s="13"/>
      <c r="G527" s="291"/>
      <c r="H527" s="12"/>
      <c r="I527" s="12"/>
      <c r="J527" s="12"/>
      <c r="K527" s="12"/>
      <c r="L527" s="13"/>
      <c r="M527" s="30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2" t="str">
        <f>IFERROR(__xludf.DUMMYFUNCTION("IF(Account!$F527&lt;&gt;"""", VALUE(REGEXREPLACE($I527, ""\,"", ""."")), """")"),"")</f>
        <v/>
      </c>
      <c r="O527" s="33" t="str">
        <f>IF(Account!$F527&lt;&gt;"", DATEVALUE(MID($A527,4,3) &amp; LEFT($A527,3) &amp; RIGHT($A527,4)) + TIMEVALUE($B527), "")</f>
        <v/>
      </c>
      <c r="P527" s="34" t="str">
        <f>IF(Account!$F527&lt;&gt;"", DATEVALUE(MID($C527,4,3) &amp; LEFT($C527,3) &amp; RIGHT($C527,4)), "")</f>
        <v/>
      </c>
      <c r="Q527" s="35" t="str">
        <f t="array" ref="Q527">IF($R527&lt;&gt;"",IFERROR(INDEX(ISIN!$B:$B,MATCH($R527,ISIN!$C:$C,0))),)</f>
        <v/>
      </c>
      <c r="R527" s="36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5" t="str">
        <f t="shared" si="1"/>
        <v/>
      </c>
      <c r="T527" s="37" t="str">
        <f t="shared" si="2"/>
        <v/>
      </c>
      <c r="U527" s="38" t="str">
        <f t="shared" si="3"/>
        <v/>
      </c>
      <c r="V527" s="32" t="str">
        <f t="shared" si="4"/>
        <v/>
      </c>
      <c r="W527" s="39" t="str">
        <f>IFERROR(__xludf.DUMMYFUNCTION(" IF(Account!$F527&lt;&gt;"""", SPLIT(Account!$F527, "" ""), """")"),"")</f>
        <v/>
      </c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</row>
    <row r="528">
      <c r="A528" s="12"/>
      <c r="B528" s="12"/>
      <c r="C528" s="12"/>
      <c r="D528" s="12"/>
      <c r="E528" s="12"/>
      <c r="F528" s="13"/>
      <c r="G528" s="12"/>
      <c r="H528" s="12"/>
      <c r="I528" s="12"/>
      <c r="J528" s="12"/>
      <c r="K528" s="12"/>
      <c r="L528" s="13"/>
      <c r="M528" s="30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2" t="str">
        <f>IFERROR(__xludf.DUMMYFUNCTION("IF(Account!$F528&lt;&gt;"""", VALUE(REGEXREPLACE($I528, ""\,"", ""."")), """")"),"")</f>
        <v/>
      </c>
      <c r="O528" s="33" t="str">
        <f>IF(Account!$F528&lt;&gt;"", DATEVALUE(MID($A528,4,3) &amp; LEFT($A528,3) &amp; RIGHT($A528,4)) + TIMEVALUE($B528), "")</f>
        <v/>
      </c>
      <c r="P528" s="34" t="str">
        <f>IF(Account!$F528&lt;&gt;"", DATEVALUE(MID($C528,4,3) &amp; LEFT($C528,3) &amp; RIGHT($C528,4)), "")</f>
        <v/>
      </c>
      <c r="Q528" s="35" t="str">
        <f t="array" ref="Q528">IF($R528&lt;&gt;"",IFERROR(INDEX(ISIN!$B:$B,MATCH($R528,ISIN!$C:$C,0))),)</f>
        <v/>
      </c>
      <c r="R528" s="36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5" t="str">
        <f t="shared" si="1"/>
        <v/>
      </c>
      <c r="T528" s="37" t="str">
        <f t="shared" si="2"/>
        <v/>
      </c>
      <c r="U528" s="38" t="str">
        <f t="shared" si="3"/>
        <v/>
      </c>
      <c r="V528" s="32" t="str">
        <f t="shared" si="4"/>
        <v/>
      </c>
      <c r="W528" s="39" t="str">
        <f>IFERROR(__xludf.DUMMYFUNCTION(" IF(Account!$F528&lt;&gt;"""", SPLIT(Account!$F528, "" ""), """")"),"")</f>
        <v/>
      </c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</row>
    <row r="529">
      <c r="A529" s="12"/>
      <c r="B529" s="12"/>
      <c r="C529" s="12"/>
      <c r="D529" s="12"/>
      <c r="E529" s="12"/>
      <c r="F529" s="13"/>
      <c r="G529" s="291"/>
      <c r="H529" s="12"/>
      <c r="I529" s="12"/>
      <c r="J529" s="12"/>
      <c r="K529" s="12"/>
      <c r="L529" s="13"/>
      <c r="M529" s="30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2" t="str">
        <f>IFERROR(__xludf.DUMMYFUNCTION("IF(Account!$F529&lt;&gt;"""", VALUE(REGEXREPLACE($I529, ""\,"", ""."")), """")"),"")</f>
        <v/>
      </c>
      <c r="O529" s="33" t="str">
        <f>IF(Account!$F529&lt;&gt;"", DATEVALUE(MID($A529,4,3) &amp; LEFT($A529,3) &amp; RIGHT($A529,4)) + TIMEVALUE($B529), "")</f>
        <v/>
      </c>
      <c r="P529" s="34" t="str">
        <f>IF(Account!$F529&lt;&gt;"", DATEVALUE(MID($C529,4,3) &amp; LEFT($C529,3) &amp; RIGHT($C529,4)), "")</f>
        <v/>
      </c>
      <c r="Q529" s="35" t="str">
        <f t="array" ref="Q529">IF($R529&lt;&gt;"",IFERROR(INDEX(ISIN!$B:$B,MATCH($R529,ISIN!$C:$C,0))),)</f>
        <v/>
      </c>
      <c r="R529" s="36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5" t="str">
        <f t="shared" si="1"/>
        <v/>
      </c>
      <c r="T529" s="37" t="str">
        <f t="shared" si="2"/>
        <v/>
      </c>
      <c r="U529" s="38" t="str">
        <f t="shared" si="3"/>
        <v/>
      </c>
      <c r="V529" s="32" t="str">
        <f t="shared" si="4"/>
        <v/>
      </c>
      <c r="W529" s="39" t="str">
        <f>IFERROR(__xludf.DUMMYFUNCTION(" IF(Account!$F529&lt;&gt;"""", SPLIT(Account!$F529, "" ""), """")"),"")</f>
        <v/>
      </c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</row>
    <row r="530">
      <c r="A530" s="12"/>
      <c r="B530" s="12"/>
      <c r="C530" s="12"/>
      <c r="D530" s="12"/>
      <c r="E530" s="12"/>
      <c r="F530" s="13"/>
      <c r="G530" s="291"/>
      <c r="H530" s="12"/>
      <c r="I530" s="12"/>
      <c r="J530" s="12"/>
      <c r="K530" s="12"/>
      <c r="L530" s="13"/>
      <c r="M530" s="30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2" t="str">
        <f>IFERROR(__xludf.DUMMYFUNCTION("IF(Account!$F530&lt;&gt;"""", VALUE(REGEXREPLACE($I530, ""\,"", ""."")), """")"),"")</f>
        <v/>
      </c>
      <c r="O530" s="33" t="str">
        <f>IF(Account!$F530&lt;&gt;"", DATEVALUE(MID($A530,4,3) &amp; LEFT($A530,3) &amp; RIGHT($A530,4)) + TIMEVALUE($B530), "")</f>
        <v/>
      </c>
      <c r="P530" s="34" t="str">
        <f>IF(Account!$F530&lt;&gt;"", DATEVALUE(MID($C530,4,3) &amp; LEFT($C530,3) &amp; RIGHT($C530,4)), "")</f>
        <v/>
      </c>
      <c r="Q530" s="35" t="str">
        <f t="array" ref="Q530">IF($R530&lt;&gt;"",IFERROR(INDEX(ISIN!$B:$B,MATCH($R530,ISIN!$C:$C,0))),)</f>
        <v/>
      </c>
      <c r="R530" s="36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5" t="str">
        <f t="shared" si="1"/>
        <v/>
      </c>
      <c r="T530" s="37" t="str">
        <f t="shared" si="2"/>
        <v/>
      </c>
      <c r="U530" s="38" t="str">
        <f t="shared" si="3"/>
        <v/>
      </c>
      <c r="V530" s="32" t="str">
        <f t="shared" si="4"/>
        <v/>
      </c>
      <c r="W530" s="39" t="str">
        <f>IFERROR(__xludf.DUMMYFUNCTION(" IF(Account!$F530&lt;&gt;"""", SPLIT(Account!$F530, "" ""), """")"),"")</f>
        <v/>
      </c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</row>
    <row r="531">
      <c r="A531" s="12"/>
      <c r="B531" s="12"/>
      <c r="C531" s="12"/>
      <c r="D531" s="12"/>
      <c r="E531" s="12"/>
      <c r="F531" s="13"/>
      <c r="G531" s="12"/>
      <c r="H531" s="12"/>
      <c r="I531" s="12"/>
      <c r="J531" s="12"/>
      <c r="K531" s="12"/>
      <c r="L531" s="13"/>
      <c r="M531" s="30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2" t="str">
        <f>IFERROR(__xludf.DUMMYFUNCTION("IF(Account!$F531&lt;&gt;"""", VALUE(REGEXREPLACE($I531, ""\,"", ""."")), """")"),"")</f>
        <v/>
      </c>
      <c r="O531" s="33" t="str">
        <f>IF(Account!$F531&lt;&gt;"", DATEVALUE(MID($A531,4,3) &amp; LEFT($A531,3) &amp; RIGHT($A531,4)) + TIMEVALUE($B531), "")</f>
        <v/>
      </c>
      <c r="P531" s="34" t="str">
        <f>IF(Account!$F531&lt;&gt;"", DATEVALUE(MID($C531,4,3) &amp; LEFT($C531,3) &amp; RIGHT($C531,4)), "")</f>
        <v/>
      </c>
      <c r="Q531" s="35" t="str">
        <f t="array" ref="Q531">IF($R531&lt;&gt;"",IFERROR(INDEX(ISIN!$B:$B,MATCH($R531,ISIN!$C:$C,0))),)</f>
        <v/>
      </c>
      <c r="R531" s="36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5" t="str">
        <f t="shared" si="1"/>
        <v/>
      </c>
      <c r="T531" s="37" t="str">
        <f t="shared" si="2"/>
        <v/>
      </c>
      <c r="U531" s="38" t="str">
        <f t="shared" si="3"/>
        <v/>
      </c>
      <c r="V531" s="32" t="str">
        <f t="shared" si="4"/>
        <v/>
      </c>
      <c r="W531" s="39" t="str">
        <f>IFERROR(__xludf.DUMMYFUNCTION(" IF(Account!$F531&lt;&gt;"""", SPLIT(Account!$F531, "" ""), """")"),"")</f>
        <v/>
      </c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</row>
    <row r="532">
      <c r="A532" s="12"/>
      <c r="B532" s="12"/>
      <c r="C532" s="12"/>
      <c r="D532" s="12"/>
      <c r="E532" s="12"/>
      <c r="F532" s="13"/>
      <c r="G532" s="291"/>
      <c r="H532" s="12"/>
      <c r="I532" s="12"/>
      <c r="J532" s="12"/>
      <c r="K532" s="12"/>
      <c r="L532" s="13"/>
      <c r="M532" s="30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2" t="str">
        <f>IFERROR(__xludf.DUMMYFUNCTION("IF(Account!$F532&lt;&gt;"""", VALUE(REGEXREPLACE($I532, ""\,"", ""."")), """")"),"")</f>
        <v/>
      </c>
      <c r="O532" s="33" t="str">
        <f>IF(Account!$F532&lt;&gt;"", DATEVALUE(MID($A532,4,3) &amp; LEFT($A532,3) &amp; RIGHT($A532,4)) + TIMEVALUE($B532), "")</f>
        <v/>
      </c>
      <c r="P532" s="34" t="str">
        <f>IF(Account!$F532&lt;&gt;"", DATEVALUE(MID($C532,4,3) &amp; LEFT($C532,3) &amp; RIGHT($C532,4)), "")</f>
        <v/>
      </c>
      <c r="Q532" s="35" t="str">
        <f t="array" ref="Q532">IF($R532&lt;&gt;"",IFERROR(INDEX(ISIN!$B:$B,MATCH($R532,ISIN!$C:$C,0))),)</f>
        <v/>
      </c>
      <c r="R532" s="36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5" t="str">
        <f t="shared" si="1"/>
        <v/>
      </c>
      <c r="T532" s="37" t="str">
        <f t="shared" si="2"/>
        <v/>
      </c>
      <c r="U532" s="38" t="str">
        <f t="shared" si="3"/>
        <v/>
      </c>
      <c r="V532" s="32" t="str">
        <f t="shared" si="4"/>
        <v/>
      </c>
      <c r="W532" s="39" t="str">
        <f>IFERROR(__xludf.DUMMYFUNCTION(" IF(Account!$F532&lt;&gt;"""", SPLIT(Account!$F532, "" ""), """")"),"")</f>
        <v/>
      </c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</row>
    <row r="533">
      <c r="A533" s="12"/>
      <c r="B533" s="12"/>
      <c r="C533" s="12"/>
      <c r="D533" s="12"/>
      <c r="E533" s="12"/>
      <c r="F533" s="13"/>
      <c r="G533" s="12"/>
      <c r="H533" s="12"/>
      <c r="I533" s="12"/>
      <c r="J533" s="12"/>
      <c r="K533" s="12"/>
      <c r="L533" s="13"/>
      <c r="M533" s="30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2" t="str">
        <f>IFERROR(__xludf.DUMMYFUNCTION("IF(Account!$F533&lt;&gt;"""", VALUE(REGEXREPLACE($I533, ""\,"", ""."")), """")"),"")</f>
        <v/>
      </c>
      <c r="O533" s="33" t="str">
        <f>IF(Account!$F533&lt;&gt;"", DATEVALUE(MID($A533,4,3) &amp; LEFT($A533,3) &amp; RIGHT($A533,4)) + TIMEVALUE($B533), "")</f>
        <v/>
      </c>
      <c r="P533" s="34" t="str">
        <f>IF(Account!$F533&lt;&gt;"", DATEVALUE(MID($C533,4,3) &amp; LEFT($C533,3) &amp; RIGHT($C533,4)), "")</f>
        <v/>
      </c>
      <c r="Q533" s="35" t="str">
        <f t="array" ref="Q533">IF($R533&lt;&gt;"",IFERROR(INDEX(ISIN!$B:$B,MATCH($R533,ISIN!$C:$C,0))),)</f>
        <v/>
      </c>
      <c r="R533" s="36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5" t="str">
        <f t="shared" si="1"/>
        <v/>
      </c>
      <c r="T533" s="37" t="str">
        <f t="shared" si="2"/>
        <v/>
      </c>
      <c r="U533" s="38" t="str">
        <f t="shared" si="3"/>
        <v/>
      </c>
      <c r="V533" s="32" t="str">
        <f t="shared" si="4"/>
        <v/>
      </c>
      <c r="W533" s="39" t="str">
        <f>IFERROR(__xludf.DUMMYFUNCTION(" IF(Account!$F533&lt;&gt;"""", SPLIT(Account!$F533, "" ""), """")"),"")</f>
        <v/>
      </c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</row>
    <row r="534">
      <c r="A534" s="12"/>
      <c r="B534" s="12"/>
      <c r="C534" s="12"/>
      <c r="D534" s="12"/>
      <c r="E534" s="12"/>
      <c r="F534" s="13"/>
      <c r="G534" s="291"/>
      <c r="H534" s="12"/>
      <c r="I534" s="12"/>
      <c r="J534" s="12"/>
      <c r="K534" s="12"/>
      <c r="L534" s="13"/>
      <c r="M534" s="30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2" t="str">
        <f>IFERROR(__xludf.DUMMYFUNCTION("IF(Account!$F534&lt;&gt;"""", VALUE(REGEXREPLACE($I534, ""\,"", ""."")), """")"),"")</f>
        <v/>
      </c>
      <c r="O534" s="33" t="str">
        <f>IF(Account!$F534&lt;&gt;"", DATEVALUE(MID($A534,4,3) &amp; LEFT($A534,3) &amp; RIGHT($A534,4)) + TIMEVALUE($B534), "")</f>
        <v/>
      </c>
      <c r="P534" s="34" t="str">
        <f>IF(Account!$F534&lt;&gt;"", DATEVALUE(MID($C534,4,3) &amp; LEFT($C534,3) &amp; RIGHT($C534,4)), "")</f>
        <v/>
      </c>
      <c r="Q534" s="35" t="str">
        <f t="array" ref="Q534">IF($R534&lt;&gt;"",IFERROR(INDEX(ISIN!$B:$B,MATCH($R534,ISIN!$C:$C,0))),)</f>
        <v/>
      </c>
      <c r="R534" s="36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5" t="str">
        <f t="shared" si="1"/>
        <v/>
      </c>
      <c r="T534" s="37" t="str">
        <f t="shared" si="2"/>
        <v/>
      </c>
      <c r="U534" s="38" t="str">
        <f t="shared" si="3"/>
        <v/>
      </c>
      <c r="V534" s="32" t="str">
        <f t="shared" si="4"/>
        <v/>
      </c>
      <c r="W534" s="39" t="str">
        <f>IFERROR(__xludf.DUMMYFUNCTION(" IF(Account!$F534&lt;&gt;"""", SPLIT(Account!$F534, "" ""), """")"),"")</f>
        <v/>
      </c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</row>
    <row r="535">
      <c r="A535" s="12"/>
      <c r="B535" s="12"/>
      <c r="C535" s="12"/>
      <c r="D535" s="12"/>
      <c r="E535" s="12"/>
      <c r="F535" s="13"/>
      <c r="G535" s="12"/>
      <c r="H535" s="12"/>
      <c r="I535" s="12"/>
      <c r="J535" s="12"/>
      <c r="K535" s="12"/>
      <c r="L535" s="13"/>
      <c r="M535" s="30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2" t="str">
        <f>IFERROR(__xludf.DUMMYFUNCTION("IF(Account!$F535&lt;&gt;"""", VALUE(REGEXREPLACE($I535, ""\,"", ""."")), """")"),"")</f>
        <v/>
      </c>
      <c r="O535" s="33" t="str">
        <f>IF(Account!$F535&lt;&gt;"", DATEVALUE(MID($A535,4,3) &amp; LEFT($A535,3) &amp; RIGHT($A535,4)) + TIMEVALUE($B535), "")</f>
        <v/>
      </c>
      <c r="P535" s="34" t="str">
        <f>IF(Account!$F535&lt;&gt;"", DATEVALUE(MID($C535,4,3) &amp; LEFT($C535,3) &amp; RIGHT($C535,4)), "")</f>
        <v/>
      </c>
      <c r="Q535" s="35" t="str">
        <f t="array" ref="Q535">IF($R535&lt;&gt;"",IFERROR(INDEX(ISIN!$B:$B,MATCH($R535,ISIN!$C:$C,0))),)</f>
        <v/>
      </c>
      <c r="R535" s="36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5" t="str">
        <f t="shared" si="1"/>
        <v/>
      </c>
      <c r="T535" s="37" t="str">
        <f t="shared" si="2"/>
        <v/>
      </c>
      <c r="U535" s="38" t="str">
        <f t="shared" si="3"/>
        <v/>
      </c>
      <c r="V535" s="32" t="str">
        <f t="shared" si="4"/>
        <v/>
      </c>
      <c r="W535" s="39" t="str">
        <f>IFERROR(__xludf.DUMMYFUNCTION(" IF(Account!$F535&lt;&gt;"""", SPLIT(Account!$F535, "" ""), """")"),"")</f>
        <v/>
      </c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</row>
    <row r="536">
      <c r="A536" s="12"/>
      <c r="B536" s="12"/>
      <c r="C536" s="12"/>
      <c r="D536" s="12"/>
      <c r="E536" s="12"/>
      <c r="F536" s="13"/>
      <c r="G536" s="291"/>
      <c r="H536" s="12"/>
      <c r="I536" s="12"/>
      <c r="J536" s="12"/>
      <c r="K536" s="12"/>
      <c r="L536" s="13"/>
      <c r="M536" s="30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2" t="str">
        <f>IFERROR(__xludf.DUMMYFUNCTION("IF(Account!$F536&lt;&gt;"""", VALUE(REGEXREPLACE($I536, ""\,"", ""."")), """")"),"")</f>
        <v/>
      </c>
      <c r="O536" s="33" t="str">
        <f>IF(Account!$F536&lt;&gt;"", DATEVALUE(MID($A536,4,3) &amp; LEFT($A536,3) &amp; RIGHT($A536,4)) + TIMEVALUE($B536), "")</f>
        <v/>
      </c>
      <c r="P536" s="34" t="str">
        <f>IF(Account!$F536&lt;&gt;"", DATEVALUE(MID($C536,4,3) &amp; LEFT($C536,3) &amp; RIGHT($C536,4)), "")</f>
        <v/>
      </c>
      <c r="Q536" s="35" t="str">
        <f t="array" ref="Q536">IF($R536&lt;&gt;"",IFERROR(INDEX(ISIN!$B:$B,MATCH($R536,ISIN!$C:$C,0))),)</f>
        <v/>
      </c>
      <c r="R536" s="36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5" t="str">
        <f t="shared" si="1"/>
        <v/>
      </c>
      <c r="T536" s="37" t="str">
        <f t="shared" si="2"/>
        <v/>
      </c>
      <c r="U536" s="38" t="str">
        <f t="shared" si="3"/>
        <v/>
      </c>
      <c r="V536" s="32" t="str">
        <f t="shared" si="4"/>
        <v/>
      </c>
      <c r="W536" s="39" t="str">
        <f>IFERROR(__xludf.DUMMYFUNCTION(" IF(Account!$F536&lt;&gt;"""", SPLIT(Account!$F536, "" ""), """")"),"")</f>
        <v/>
      </c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</row>
    <row r="537">
      <c r="A537" s="12"/>
      <c r="B537" s="12"/>
      <c r="C537" s="12"/>
      <c r="D537" s="12"/>
      <c r="E537" s="12"/>
      <c r="F537" s="13"/>
      <c r="G537" s="291"/>
      <c r="H537" s="12"/>
      <c r="I537" s="12"/>
      <c r="J537" s="12"/>
      <c r="K537" s="12"/>
      <c r="L537" s="13"/>
      <c r="M537" s="30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2" t="str">
        <f>IFERROR(__xludf.DUMMYFUNCTION("IF(Account!$F537&lt;&gt;"""", VALUE(REGEXREPLACE($I537, ""\,"", ""."")), """")"),"")</f>
        <v/>
      </c>
      <c r="O537" s="33" t="str">
        <f>IF(Account!$F537&lt;&gt;"", DATEVALUE(MID($A537,4,3) &amp; LEFT($A537,3) &amp; RIGHT($A537,4)) + TIMEVALUE($B537), "")</f>
        <v/>
      </c>
      <c r="P537" s="34" t="str">
        <f>IF(Account!$F537&lt;&gt;"", DATEVALUE(MID($C537,4,3) &amp; LEFT($C537,3) &amp; RIGHT($C537,4)), "")</f>
        <v/>
      </c>
      <c r="Q537" s="35" t="str">
        <f t="array" ref="Q537">IF($R537&lt;&gt;"",IFERROR(INDEX(ISIN!$B:$B,MATCH($R537,ISIN!$C:$C,0))),)</f>
        <v/>
      </c>
      <c r="R537" s="36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5" t="str">
        <f t="shared" si="1"/>
        <v/>
      </c>
      <c r="T537" s="37" t="str">
        <f t="shared" si="2"/>
        <v/>
      </c>
      <c r="U537" s="38" t="str">
        <f t="shared" si="3"/>
        <v/>
      </c>
      <c r="V537" s="32" t="str">
        <f t="shared" si="4"/>
        <v/>
      </c>
      <c r="W537" s="39" t="str">
        <f>IFERROR(__xludf.DUMMYFUNCTION(" IF(Account!$F537&lt;&gt;"""", SPLIT(Account!$F537, "" ""), """")"),"")</f>
        <v/>
      </c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</row>
    <row r="538">
      <c r="A538" s="12"/>
      <c r="B538" s="12"/>
      <c r="C538" s="12"/>
      <c r="D538" s="12"/>
      <c r="E538" s="12"/>
      <c r="F538" s="13"/>
      <c r="G538" s="12"/>
      <c r="H538" s="12"/>
      <c r="I538" s="12"/>
      <c r="J538" s="12"/>
      <c r="K538" s="12"/>
      <c r="L538" s="13"/>
      <c r="M538" s="30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2" t="str">
        <f>IFERROR(__xludf.DUMMYFUNCTION("IF(Account!$F538&lt;&gt;"""", VALUE(REGEXREPLACE($I538, ""\,"", ""."")), """")"),"")</f>
        <v/>
      </c>
      <c r="O538" s="33" t="str">
        <f>IF(Account!$F538&lt;&gt;"", DATEVALUE(MID($A538,4,3) &amp; LEFT($A538,3) &amp; RIGHT($A538,4)) + TIMEVALUE($B538), "")</f>
        <v/>
      </c>
      <c r="P538" s="34" t="str">
        <f>IF(Account!$F538&lt;&gt;"", DATEVALUE(MID($C538,4,3) &amp; LEFT($C538,3) &amp; RIGHT($C538,4)), "")</f>
        <v/>
      </c>
      <c r="Q538" s="35" t="str">
        <f t="array" ref="Q538">IF($R538&lt;&gt;"",IFERROR(INDEX(ISIN!$B:$B,MATCH($R538,ISIN!$C:$C,0))),)</f>
        <v/>
      </c>
      <c r="R538" s="36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5" t="str">
        <f t="shared" si="1"/>
        <v/>
      </c>
      <c r="T538" s="37" t="str">
        <f t="shared" si="2"/>
        <v/>
      </c>
      <c r="U538" s="38" t="str">
        <f t="shared" si="3"/>
        <v/>
      </c>
      <c r="V538" s="32" t="str">
        <f t="shared" si="4"/>
        <v/>
      </c>
      <c r="W538" s="39" t="str">
        <f>IFERROR(__xludf.DUMMYFUNCTION(" IF(Account!$F538&lt;&gt;"""", SPLIT(Account!$F538, "" ""), """")"),"")</f>
        <v/>
      </c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</row>
    <row r="539">
      <c r="A539" s="12"/>
      <c r="B539" s="12"/>
      <c r="C539" s="12"/>
      <c r="D539" s="12"/>
      <c r="E539" s="12"/>
      <c r="F539" s="13"/>
      <c r="G539" s="291"/>
      <c r="H539" s="12"/>
      <c r="I539" s="12"/>
      <c r="J539" s="12"/>
      <c r="K539" s="12"/>
      <c r="L539" s="13"/>
      <c r="M539" s="30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2" t="str">
        <f>IFERROR(__xludf.DUMMYFUNCTION("IF(Account!$F539&lt;&gt;"""", VALUE(REGEXREPLACE($I539, ""\,"", ""."")), """")"),"")</f>
        <v/>
      </c>
      <c r="O539" s="33" t="str">
        <f>IF(Account!$F539&lt;&gt;"", DATEVALUE(MID($A539,4,3) &amp; LEFT($A539,3) &amp; RIGHT($A539,4)) + TIMEVALUE($B539), "")</f>
        <v/>
      </c>
      <c r="P539" s="34" t="str">
        <f>IF(Account!$F539&lt;&gt;"", DATEVALUE(MID($C539,4,3) &amp; LEFT($C539,3) &amp; RIGHT($C539,4)), "")</f>
        <v/>
      </c>
      <c r="Q539" s="35" t="str">
        <f t="array" ref="Q539">IF($R539&lt;&gt;"",IFERROR(INDEX(ISIN!$B:$B,MATCH($R539,ISIN!$C:$C,0))),)</f>
        <v/>
      </c>
      <c r="R539" s="36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5" t="str">
        <f t="shared" si="1"/>
        <v/>
      </c>
      <c r="T539" s="37" t="str">
        <f t="shared" si="2"/>
        <v/>
      </c>
      <c r="U539" s="38" t="str">
        <f t="shared" si="3"/>
        <v/>
      </c>
      <c r="V539" s="32" t="str">
        <f t="shared" si="4"/>
        <v/>
      </c>
      <c r="W539" s="39" t="str">
        <f>IFERROR(__xludf.DUMMYFUNCTION(" IF(Account!$F539&lt;&gt;"""", SPLIT(Account!$F539, "" ""), """")"),"")</f>
        <v/>
      </c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</row>
    <row r="540">
      <c r="A540" s="12"/>
      <c r="B540" s="12"/>
      <c r="C540" s="12"/>
      <c r="D540" s="12"/>
      <c r="E540" s="12"/>
      <c r="F540" s="13"/>
      <c r="G540" s="12"/>
      <c r="H540" s="12"/>
      <c r="I540" s="12"/>
      <c r="J540" s="12"/>
      <c r="K540" s="12"/>
      <c r="L540" s="13"/>
      <c r="M540" s="30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2" t="str">
        <f>IFERROR(__xludf.DUMMYFUNCTION("IF(Account!$F540&lt;&gt;"""", VALUE(REGEXREPLACE($I540, ""\,"", ""."")), """")"),"")</f>
        <v/>
      </c>
      <c r="O540" s="33" t="str">
        <f>IF(Account!$F540&lt;&gt;"", DATEVALUE(MID($A540,4,3) &amp; LEFT($A540,3) &amp; RIGHT($A540,4)) + TIMEVALUE($B540), "")</f>
        <v/>
      </c>
      <c r="P540" s="34" t="str">
        <f>IF(Account!$F540&lt;&gt;"", DATEVALUE(MID($C540,4,3) &amp; LEFT($C540,3) &amp; RIGHT($C540,4)), "")</f>
        <v/>
      </c>
      <c r="Q540" s="35" t="str">
        <f t="array" ref="Q540">IF($R540&lt;&gt;"",IFERROR(INDEX(ISIN!$B:$B,MATCH($R540,ISIN!$C:$C,0))),)</f>
        <v/>
      </c>
      <c r="R540" s="36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5" t="str">
        <f t="shared" si="1"/>
        <v/>
      </c>
      <c r="T540" s="37" t="str">
        <f t="shared" si="2"/>
        <v/>
      </c>
      <c r="U540" s="38" t="str">
        <f t="shared" si="3"/>
        <v/>
      </c>
      <c r="V540" s="32" t="str">
        <f t="shared" si="4"/>
        <v/>
      </c>
      <c r="W540" s="39" t="str">
        <f>IFERROR(__xludf.DUMMYFUNCTION(" IF(Account!$F540&lt;&gt;"""", SPLIT(Account!$F540, "" ""), """")"),"")</f>
        <v/>
      </c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</row>
    <row r="541">
      <c r="A541" s="12"/>
      <c r="B541" s="12"/>
      <c r="C541" s="12"/>
      <c r="D541" s="12"/>
      <c r="E541" s="12"/>
      <c r="F541" s="13"/>
      <c r="G541" s="291"/>
      <c r="H541" s="12"/>
      <c r="I541" s="12"/>
      <c r="J541" s="12"/>
      <c r="K541" s="12"/>
      <c r="L541" s="13"/>
      <c r="M541" s="30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2" t="str">
        <f>IFERROR(__xludf.DUMMYFUNCTION("IF(Account!$F541&lt;&gt;"""", VALUE(REGEXREPLACE($I541, ""\,"", ""."")), """")"),"")</f>
        <v/>
      </c>
      <c r="O541" s="33" t="str">
        <f>IF(Account!$F541&lt;&gt;"", DATEVALUE(MID($A541,4,3) &amp; LEFT($A541,3) &amp; RIGHT($A541,4)) + TIMEVALUE($B541), "")</f>
        <v/>
      </c>
      <c r="P541" s="34" t="str">
        <f>IF(Account!$F541&lt;&gt;"", DATEVALUE(MID($C541,4,3) &amp; LEFT($C541,3) &amp; RIGHT($C541,4)), "")</f>
        <v/>
      </c>
      <c r="Q541" s="35" t="str">
        <f t="array" ref="Q541">IF($R541&lt;&gt;"",IFERROR(INDEX(ISIN!$B:$B,MATCH($R541,ISIN!$C:$C,0))),)</f>
        <v/>
      </c>
      <c r="R541" s="36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5" t="str">
        <f t="shared" si="1"/>
        <v/>
      </c>
      <c r="T541" s="37" t="str">
        <f t="shared" si="2"/>
        <v/>
      </c>
      <c r="U541" s="38" t="str">
        <f t="shared" si="3"/>
        <v/>
      </c>
      <c r="V541" s="32" t="str">
        <f t="shared" si="4"/>
        <v/>
      </c>
      <c r="W541" s="39" t="str">
        <f>IFERROR(__xludf.DUMMYFUNCTION(" IF(Account!$F541&lt;&gt;"""", SPLIT(Account!$F541, "" ""), """")"),"")</f>
        <v/>
      </c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</row>
    <row r="542">
      <c r="A542" s="12"/>
      <c r="B542" s="12"/>
      <c r="C542" s="12"/>
      <c r="D542" s="12"/>
      <c r="E542" s="12"/>
      <c r="F542" s="13"/>
      <c r="G542" s="12"/>
      <c r="H542" s="12"/>
      <c r="I542" s="12"/>
      <c r="J542" s="12"/>
      <c r="K542" s="12"/>
      <c r="L542" s="13"/>
      <c r="M542" s="30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2" t="str">
        <f>IFERROR(__xludf.DUMMYFUNCTION("IF(Account!$F542&lt;&gt;"""", VALUE(REGEXREPLACE($I542, ""\,"", ""."")), """")"),"")</f>
        <v/>
      </c>
      <c r="O542" s="33" t="str">
        <f>IF(Account!$F542&lt;&gt;"", DATEVALUE(MID($A542,4,3) &amp; LEFT($A542,3) &amp; RIGHT($A542,4)) + TIMEVALUE($B542), "")</f>
        <v/>
      </c>
      <c r="P542" s="34" t="str">
        <f>IF(Account!$F542&lt;&gt;"", DATEVALUE(MID($C542,4,3) &amp; LEFT($C542,3) &amp; RIGHT($C542,4)), "")</f>
        <v/>
      </c>
      <c r="Q542" s="35" t="str">
        <f t="array" ref="Q542">IF($R542&lt;&gt;"",IFERROR(INDEX(ISIN!$B:$B,MATCH($R542,ISIN!$C:$C,0))),)</f>
        <v/>
      </c>
      <c r="R542" s="36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5" t="str">
        <f t="shared" si="1"/>
        <v/>
      </c>
      <c r="T542" s="37" t="str">
        <f t="shared" si="2"/>
        <v/>
      </c>
      <c r="U542" s="38" t="str">
        <f t="shared" si="3"/>
        <v/>
      </c>
      <c r="V542" s="32" t="str">
        <f t="shared" si="4"/>
        <v/>
      </c>
      <c r="W542" s="39" t="str">
        <f>IFERROR(__xludf.DUMMYFUNCTION(" IF(Account!$F542&lt;&gt;"""", SPLIT(Account!$F542, "" ""), """")"),"")</f>
        <v/>
      </c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</row>
    <row r="543">
      <c r="A543" s="12"/>
      <c r="B543" s="12"/>
      <c r="C543" s="12"/>
      <c r="D543" s="12"/>
      <c r="E543" s="12"/>
      <c r="F543" s="13"/>
      <c r="G543" s="291"/>
      <c r="H543" s="12"/>
      <c r="I543" s="12"/>
      <c r="J543" s="12"/>
      <c r="K543" s="12"/>
      <c r="L543" s="13"/>
      <c r="M543" s="30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2" t="str">
        <f>IFERROR(__xludf.DUMMYFUNCTION("IF(Account!$F543&lt;&gt;"""", VALUE(REGEXREPLACE($I543, ""\,"", ""."")), """")"),"")</f>
        <v/>
      </c>
      <c r="O543" s="33" t="str">
        <f>IF(Account!$F543&lt;&gt;"", DATEVALUE(MID($A543,4,3) &amp; LEFT($A543,3) &amp; RIGHT($A543,4)) + TIMEVALUE($B543), "")</f>
        <v/>
      </c>
      <c r="P543" s="34" t="str">
        <f>IF(Account!$F543&lt;&gt;"", DATEVALUE(MID($C543,4,3) &amp; LEFT($C543,3) &amp; RIGHT($C543,4)), "")</f>
        <v/>
      </c>
      <c r="Q543" s="35" t="str">
        <f t="array" ref="Q543">IF($R543&lt;&gt;"",IFERROR(INDEX(ISIN!$B:$B,MATCH($R543,ISIN!$C:$C,0))),)</f>
        <v/>
      </c>
      <c r="R543" s="36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5" t="str">
        <f t="shared" si="1"/>
        <v/>
      </c>
      <c r="T543" s="37" t="str">
        <f t="shared" si="2"/>
        <v/>
      </c>
      <c r="U543" s="38" t="str">
        <f t="shared" si="3"/>
        <v/>
      </c>
      <c r="V543" s="32" t="str">
        <f t="shared" si="4"/>
        <v/>
      </c>
      <c r="W543" s="39" t="str">
        <f>IFERROR(__xludf.DUMMYFUNCTION(" IF(Account!$F543&lt;&gt;"""", SPLIT(Account!$F543, "" ""), """")"),"")</f>
        <v/>
      </c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</row>
    <row r="544">
      <c r="A544" s="12"/>
      <c r="B544" s="12"/>
      <c r="C544" s="12"/>
      <c r="D544" s="12"/>
      <c r="E544" s="12"/>
      <c r="F544" s="13"/>
      <c r="G544" s="12"/>
      <c r="H544" s="12"/>
      <c r="I544" s="12"/>
      <c r="J544" s="12"/>
      <c r="K544" s="12"/>
      <c r="L544" s="13"/>
      <c r="M544" s="30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2" t="str">
        <f>IFERROR(__xludf.DUMMYFUNCTION("IF(Account!$F544&lt;&gt;"""", VALUE(REGEXREPLACE($I544, ""\,"", ""."")), """")"),"")</f>
        <v/>
      </c>
      <c r="O544" s="33" t="str">
        <f>IF(Account!$F544&lt;&gt;"", DATEVALUE(MID($A544,4,3) &amp; LEFT($A544,3) &amp; RIGHT($A544,4)) + TIMEVALUE($B544), "")</f>
        <v/>
      </c>
      <c r="P544" s="34" t="str">
        <f>IF(Account!$F544&lt;&gt;"", DATEVALUE(MID($C544,4,3) &amp; LEFT($C544,3) &amp; RIGHT($C544,4)), "")</f>
        <v/>
      </c>
      <c r="Q544" s="35" t="str">
        <f t="array" ref="Q544">IF($R544&lt;&gt;"",IFERROR(INDEX(ISIN!$B:$B,MATCH($R544,ISIN!$C:$C,0))),)</f>
        <v/>
      </c>
      <c r="R544" s="36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5" t="str">
        <f t="shared" si="1"/>
        <v/>
      </c>
      <c r="T544" s="37" t="str">
        <f t="shared" si="2"/>
        <v/>
      </c>
      <c r="U544" s="38" t="str">
        <f t="shared" si="3"/>
        <v/>
      </c>
      <c r="V544" s="32" t="str">
        <f t="shared" si="4"/>
        <v/>
      </c>
      <c r="W544" s="39" t="str">
        <f>IFERROR(__xludf.DUMMYFUNCTION(" IF(Account!$F544&lt;&gt;"""", SPLIT(Account!$F544, "" ""), """")"),"")</f>
        <v/>
      </c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</row>
    <row r="545">
      <c r="A545" s="12"/>
      <c r="B545" s="12"/>
      <c r="C545" s="12"/>
      <c r="D545" s="12"/>
      <c r="E545" s="12"/>
      <c r="F545" s="13"/>
      <c r="G545" s="291"/>
      <c r="H545" s="12"/>
      <c r="I545" s="12"/>
      <c r="J545" s="12"/>
      <c r="K545" s="12"/>
      <c r="L545" s="13"/>
      <c r="M545" s="30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2" t="str">
        <f>IFERROR(__xludf.DUMMYFUNCTION("IF(Account!$F545&lt;&gt;"""", VALUE(REGEXREPLACE($I545, ""\,"", ""."")), """")"),"")</f>
        <v/>
      </c>
      <c r="O545" s="33" t="str">
        <f>IF(Account!$F545&lt;&gt;"", DATEVALUE(MID($A545,4,3) &amp; LEFT($A545,3) &amp; RIGHT($A545,4)) + TIMEVALUE($B545), "")</f>
        <v/>
      </c>
      <c r="P545" s="34" t="str">
        <f>IF(Account!$F545&lt;&gt;"", DATEVALUE(MID($C545,4,3) &amp; LEFT($C545,3) &amp; RIGHT($C545,4)), "")</f>
        <v/>
      </c>
      <c r="Q545" s="35" t="str">
        <f t="array" ref="Q545">IF($R545&lt;&gt;"",IFERROR(INDEX(ISIN!$B:$B,MATCH($R545,ISIN!$C:$C,0))),)</f>
        <v/>
      </c>
      <c r="R545" s="36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5" t="str">
        <f t="shared" si="1"/>
        <v/>
      </c>
      <c r="T545" s="37" t="str">
        <f t="shared" si="2"/>
        <v/>
      </c>
      <c r="U545" s="38" t="str">
        <f t="shared" si="3"/>
        <v/>
      </c>
      <c r="V545" s="32" t="str">
        <f t="shared" si="4"/>
        <v/>
      </c>
      <c r="W545" s="39" t="str">
        <f>IFERROR(__xludf.DUMMYFUNCTION(" IF(Account!$F545&lt;&gt;"""", SPLIT(Account!$F545, "" ""), """")"),"")</f>
        <v/>
      </c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</row>
    <row r="546">
      <c r="A546" s="12"/>
      <c r="B546" s="12"/>
      <c r="C546" s="12"/>
      <c r="D546" s="12"/>
      <c r="E546" s="12"/>
      <c r="F546" s="13"/>
      <c r="G546" s="12"/>
      <c r="H546" s="12"/>
      <c r="I546" s="12"/>
      <c r="J546" s="12"/>
      <c r="K546" s="12"/>
      <c r="L546" s="13"/>
      <c r="M546" s="30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2" t="str">
        <f>IFERROR(__xludf.DUMMYFUNCTION("IF(Account!$F546&lt;&gt;"""", VALUE(REGEXREPLACE($I546, ""\,"", ""."")), """")"),"")</f>
        <v/>
      </c>
      <c r="O546" s="33" t="str">
        <f>IF(Account!$F546&lt;&gt;"", DATEVALUE(MID($A546,4,3) &amp; LEFT($A546,3) &amp; RIGHT($A546,4)) + TIMEVALUE($B546), "")</f>
        <v/>
      </c>
      <c r="P546" s="34" t="str">
        <f>IF(Account!$F546&lt;&gt;"", DATEVALUE(MID($C546,4,3) &amp; LEFT($C546,3) &amp; RIGHT($C546,4)), "")</f>
        <v/>
      </c>
      <c r="Q546" s="35" t="str">
        <f t="array" ref="Q546">IF($R546&lt;&gt;"",IFERROR(INDEX(ISIN!$B:$B,MATCH($R546,ISIN!$C:$C,0))),)</f>
        <v/>
      </c>
      <c r="R546" s="36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5" t="str">
        <f t="shared" si="1"/>
        <v/>
      </c>
      <c r="T546" s="37" t="str">
        <f t="shared" si="2"/>
        <v/>
      </c>
      <c r="U546" s="38" t="str">
        <f t="shared" si="3"/>
        <v/>
      </c>
      <c r="V546" s="32" t="str">
        <f t="shared" si="4"/>
        <v/>
      </c>
      <c r="W546" s="39" t="str">
        <f>IFERROR(__xludf.DUMMYFUNCTION(" IF(Account!$F546&lt;&gt;"""", SPLIT(Account!$F546, "" ""), """")"),"")</f>
        <v/>
      </c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</row>
    <row r="547">
      <c r="A547" s="12"/>
      <c r="B547" s="12"/>
      <c r="C547" s="12"/>
      <c r="D547" s="12"/>
      <c r="E547" s="12"/>
      <c r="F547" s="13"/>
      <c r="G547" s="291"/>
      <c r="H547" s="12"/>
      <c r="I547" s="12"/>
      <c r="J547" s="12"/>
      <c r="K547" s="12"/>
      <c r="L547" s="13"/>
      <c r="M547" s="30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2" t="str">
        <f>IFERROR(__xludf.DUMMYFUNCTION("IF(Account!$F547&lt;&gt;"""", VALUE(REGEXREPLACE($I547, ""\,"", ""."")), """")"),"")</f>
        <v/>
      </c>
      <c r="O547" s="33" t="str">
        <f>IF(Account!$F547&lt;&gt;"", DATEVALUE(MID($A547,4,3) &amp; LEFT($A547,3) &amp; RIGHT($A547,4)) + TIMEVALUE($B547), "")</f>
        <v/>
      </c>
      <c r="P547" s="34" t="str">
        <f>IF(Account!$F547&lt;&gt;"", DATEVALUE(MID($C547,4,3) &amp; LEFT($C547,3) &amp; RIGHT($C547,4)), "")</f>
        <v/>
      </c>
      <c r="Q547" s="35" t="str">
        <f t="array" ref="Q547">IF($R547&lt;&gt;"",IFERROR(INDEX(ISIN!$B:$B,MATCH($R547,ISIN!$C:$C,0))),)</f>
        <v/>
      </c>
      <c r="R547" s="36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5" t="str">
        <f t="shared" si="1"/>
        <v/>
      </c>
      <c r="T547" s="37" t="str">
        <f t="shared" si="2"/>
        <v/>
      </c>
      <c r="U547" s="38" t="str">
        <f t="shared" si="3"/>
        <v/>
      </c>
      <c r="V547" s="32" t="str">
        <f t="shared" si="4"/>
        <v/>
      </c>
      <c r="W547" s="39" t="str">
        <f>IFERROR(__xludf.DUMMYFUNCTION(" IF(Account!$F547&lt;&gt;"""", SPLIT(Account!$F547, "" ""), """")"),"")</f>
        <v/>
      </c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</row>
    <row r="548">
      <c r="A548" s="12"/>
      <c r="B548" s="12"/>
      <c r="C548" s="12"/>
      <c r="D548" s="12"/>
      <c r="E548" s="12"/>
      <c r="F548" s="13"/>
      <c r="G548" s="291"/>
      <c r="H548" s="12"/>
      <c r="I548" s="12"/>
      <c r="J548" s="12"/>
      <c r="K548" s="12"/>
      <c r="L548" s="13"/>
      <c r="M548" s="30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2" t="str">
        <f>IFERROR(__xludf.DUMMYFUNCTION("IF(Account!$F548&lt;&gt;"""", VALUE(REGEXREPLACE($I548, ""\,"", ""."")), """")"),"")</f>
        <v/>
      </c>
      <c r="O548" s="33" t="str">
        <f>IF(Account!$F548&lt;&gt;"", DATEVALUE(MID($A548,4,3) &amp; LEFT($A548,3) &amp; RIGHT($A548,4)) + TIMEVALUE($B548), "")</f>
        <v/>
      </c>
      <c r="P548" s="34" t="str">
        <f>IF(Account!$F548&lt;&gt;"", DATEVALUE(MID($C548,4,3) &amp; LEFT($C548,3) &amp; RIGHT($C548,4)), "")</f>
        <v/>
      </c>
      <c r="Q548" s="35" t="str">
        <f t="array" ref="Q548">IF($R548&lt;&gt;"",IFERROR(INDEX(ISIN!$B:$B,MATCH($R548,ISIN!$C:$C,0))),)</f>
        <v/>
      </c>
      <c r="R548" s="36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5" t="str">
        <f t="shared" si="1"/>
        <v/>
      </c>
      <c r="T548" s="37" t="str">
        <f t="shared" si="2"/>
        <v/>
      </c>
      <c r="U548" s="38" t="str">
        <f t="shared" si="3"/>
        <v/>
      </c>
      <c r="V548" s="32" t="str">
        <f t="shared" si="4"/>
        <v/>
      </c>
      <c r="W548" s="39" t="str">
        <f>IFERROR(__xludf.DUMMYFUNCTION(" IF(Account!$F548&lt;&gt;"""", SPLIT(Account!$F548, "" ""), """")"),"")</f>
        <v/>
      </c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</row>
    <row r="549">
      <c r="A549" s="12"/>
      <c r="B549" s="12"/>
      <c r="C549" s="12"/>
      <c r="D549" s="12"/>
      <c r="E549" s="12"/>
      <c r="F549" s="13"/>
      <c r="G549" s="12"/>
      <c r="H549" s="12"/>
      <c r="I549" s="12"/>
      <c r="J549" s="12"/>
      <c r="K549" s="12"/>
      <c r="L549" s="13"/>
      <c r="M549" s="30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2" t="str">
        <f>IFERROR(__xludf.DUMMYFUNCTION("IF(Account!$F549&lt;&gt;"""", VALUE(REGEXREPLACE($I549, ""\,"", ""."")), """")"),"")</f>
        <v/>
      </c>
      <c r="O549" s="33" t="str">
        <f>IF(Account!$F549&lt;&gt;"", DATEVALUE(MID($A549,4,3) &amp; LEFT($A549,3) &amp; RIGHT($A549,4)) + TIMEVALUE($B549), "")</f>
        <v/>
      </c>
      <c r="P549" s="34" t="str">
        <f>IF(Account!$F549&lt;&gt;"", DATEVALUE(MID($C549,4,3) &amp; LEFT($C549,3) &amp; RIGHT($C549,4)), "")</f>
        <v/>
      </c>
      <c r="Q549" s="35" t="str">
        <f t="array" ref="Q549">IF($R549&lt;&gt;"",IFERROR(INDEX(ISIN!$B:$B,MATCH($R549,ISIN!$C:$C,0))),)</f>
        <v/>
      </c>
      <c r="R549" s="36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5" t="str">
        <f t="shared" si="1"/>
        <v/>
      </c>
      <c r="T549" s="37" t="str">
        <f t="shared" si="2"/>
        <v/>
      </c>
      <c r="U549" s="38" t="str">
        <f t="shared" si="3"/>
        <v/>
      </c>
      <c r="V549" s="32" t="str">
        <f t="shared" si="4"/>
        <v/>
      </c>
      <c r="W549" s="39" t="str">
        <f>IFERROR(__xludf.DUMMYFUNCTION(" IF(Account!$F549&lt;&gt;"""", SPLIT(Account!$F549, "" ""), """")"),"")</f>
        <v/>
      </c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</row>
    <row r="550">
      <c r="A550" s="12"/>
      <c r="B550" s="12"/>
      <c r="C550" s="12"/>
      <c r="D550" s="12"/>
      <c r="E550" s="12"/>
      <c r="F550" s="13"/>
      <c r="G550" s="12"/>
      <c r="H550" s="12"/>
      <c r="I550" s="12"/>
      <c r="J550" s="12"/>
      <c r="K550" s="12"/>
      <c r="L550" s="13"/>
      <c r="M550" s="30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2" t="str">
        <f>IFERROR(__xludf.DUMMYFUNCTION("IF(Account!$F550&lt;&gt;"""", VALUE(REGEXREPLACE($I550, ""\,"", ""."")), """")"),"")</f>
        <v/>
      </c>
      <c r="O550" s="33" t="str">
        <f>IF(Account!$F550&lt;&gt;"", DATEVALUE(MID($A550,4,3) &amp; LEFT($A550,3) &amp; RIGHT($A550,4)) + TIMEVALUE($B550), "")</f>
        <v/>
      </c>
      <c r="P550" s="34" t="str">
        <f>IF(Account!$F550&lt;&gt;"", DATEVALUE(MID($C550,4,3) &amp; LEFT($C550,3) &amp; RIGHT($C550,4)), "")</f>
        <v/>
      </c>
      <c r="Q550" s="35" t="str">
        <f t="array" ref="Q550">IF($R550&lt;&gt;"",IFERROR(INDEX(ISIN!$B:$B,MATCH($R550,ISIN!$C:$C,0))),)</f>
        <v/>
      </c>
      <c r="R550" s="36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5" t="str">
        <f t="shared" si="1"/>
        <v/>
      </c>
      <c r="T550" s="37" t="str">
        <f t="shared" si="2"/>
        <v/>
      </c>
      <c r="U550" s="38" t="str">
        <f t="shared" si="3"/>
        <v/>
      </c>
      <c r="V550" s="32" t="str">
        <f t="shared" si="4"/>
        <v/>
      </c>
      <c r="W550" s="39" t="str">
        <f>IFERROR(__xludf.DUMMYFUNCTION(" IF(Account!$F550&lt;&gt;"""", SPLIT(Account!$F550, "" ""), """")"),"")</f>
        <v/>
      </c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</row>
    <row r="551">
      <c r="A551" s="12"/>
      <c r="B551" s="12"/>
      <c r="C551" s="12"/>
      <c r="D551" s="12"/>
      <c r="E551" s="12"/>
      <c r="F551" s="13"/>
      <c r="G551" s="291"/>
      <c r="H551" s="12"/>
      <c r="I551" s="12"/>
      <c r="J551" s="12"/>
      <c r="K551" s="12"/>
      <c r="L551" s="13"/>
      <c r="M551" s="30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2" t="str">
        <f>IFERROR(__xludf.DUMMYFUNCTION("IF(Account!$F551&lt;&gt;"""", VALUE(REGEXREPLACE($I551, ""\,"", ""."")), """")"),"")</f>
        <v/>
      </c>
      <c r="O551" s="33" t="str">
        <f>IF(Account!$F551&lt;&gt;"", DATEVALUE(MID($A551,4,3) &amp; LEFT($A551,3) &amp; RIGHT($A551,4)) + TIMEVALUE($B551), "")</f>
        <v/>
      </c>
      <c r="P551" s="34" t="str">
        <f>IF(Account!$F551&lt;&gt;"", DATEVALUE(MID($C551,4,3) &amp; LEFT($C551,3) &amp; RIGHT($C551,4)), "")</f>
        <v/>
      </c>
      <c r="Q551" s="35" t="str">
        <f t="array" ref="Q551">IF($R551&lt;&gt;"",IFERROR(INDEX(ISIN!$B:$B,MATCH($R551,ISIN!$C:$C,0))),)</f>
        <v/>
      </c>
      <c r="R551" s="36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5" t="str">
        <f t="shared" si="1"/>
        <v/>
      </c>
      <c r="T551" s="37" t="str">
        <f t="shared" si="2"/>
        <v/>
      </c>
      <c r="U551" s="38" t="str">
        <f t="shared" si="3"/>
        <v/>
      </c>
      <c r="V551" s="32" t="str">
        <f t="shared" si="4"/>
        <v/>
      </c>
      <c r="W551" s="39" t="str">
        <f>IFERROR(__xludf.DUMMYFUNCTION(" IF(Account!$F551&lt;&gt;"""", SPLIT(Account!$F551, "" ""), """")"),"")</f>
        <v/>
      </c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</row>
    <row r="552">
      <c r="A552" s="12"/>
      <c r="B552" s="12"/>
      <c r="C552" s="12"/>
      <c r="D552" s="12"/>
      <c r="E552" s="12"/>
      <c r="F552" s="13"/>
      <c r="G552" s="12"/>
      <c r="H552" s="12"/>
      <c r="I552" s="12"/>
      <c r="J552" s="12"/>
      <c r="K552" s="12"/>
      <c r="L552" s="13"/>
      <c r="M552" s="30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2" t="str">
        <f>IFERROR(__xludf.DUMMYFUNCTION("IF(Account!$F552&lt;&gt;"""", VALUE(REGEXREPLACE($I552, ""\,"", ""."")), """")"),"")</f>
        <v/>
      </c>
      <c r="O552" s="33" t="str">
        <f>IF(Account!$F552&lt;&gt;"", DATEVALUE(MID($A552,4,3) &amp; LEFT($A552,3) &amp; RIGHT($A552,4)) + TIMEVALUE($B552), "")</f>
        <v/>
      </c>
      <c r="P552" s="34" t="str">
        <f>IF(Account!$F552&lt;&gt;"", DATEVALUE(MID($C552,4,3) &amp; LEFT($C552,3) &amp; RIGHT($C552,4)), "")</f>
        <v/>
      </c>
      <c r="Q552" s="35" t="str">
        <f t="array" ref="Q552">IF($R552&lt;&gt;"",IFERROR(INDEX(ISIN!$B:$B,MATCH($R552,ISIN!$C:$C,0))),)</f>
        <v/>
      </c>
      <c r="R552" s="36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5" t="str">
        <f t="shared" si="1"/>
        <v/>
      </c>
      <c r="T552" s="37" t="str">
        <f t="shared" si="2"/>
        <v/>
      </c>
      <c r="U552" s="38" t="str">
        <f t="shared" si="3"/>
        <v/>
      </c>
      <c r="V552" s="32" t="str">
        <f t="shared" si="4"/>
        <v/>
      </c>
      <c r="W552" s="39" t="str">
        <f>IFERROR(__xludf.DUMMYFUNCTION(" IF(Account!$F552&lt;&gt;"""", SPLIT(Account!$F552, "" ""), """")"),"")</f>
        <v/>
      </c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</row>
    <row r="553">
      <c r="A553" s="12"/>
      <c r="B553" s="12"/>
      <c r="C553" s="12"/>
      <c r="D553" s="12"/>
      <c r="E553" s="12"/>
      <c r="F553" s="13"/>
      <c r="G553" s="291"/>
      <c r="H553" s="12"/>
      <c r="I553" s="12"/>
      <c r="J553" s="12"/>
      <c r="K553" s="12"/>
      <c r="L553" s="13"/>
      <c r="M553" s="30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2" t="str">
        <f>IFERROR(__xludf.DUMMYFUNCTION("IF(Account!$F553&lt;&gt;"""", VALUE(REGEXREPLACE($I553, ""\,"", ""."")), """")"),"")</f>
        <v/>
      </c>
      <c r="O553" s="33" t="str">
        <f>IF(Account!$F553&lt;&gt;"", DATEVALUE(MID($A553,4,3) &amp; LEFT($A553,3) &amp; RIGHT($A553,4)) + TIMEVALUE($B553), "")</f>
        <v/>
      </c>
      <c r="P553" s="34" t="str">
        <f>IF(Account!$F553&lt;&gt;"", DATEVALUE(MID($C553,4,3) &amp; LEFT($C553,3) &amp; RIGHT($C553,4)), "")</f>
        <v/>
      </c>
      <c r="Q553" s="35" t="str">
        <f t="array" ref="Q553">IF($R553&lt;&gt;"",IFERROR(INDEX(ISIN!$B:$B,MATCH($R553,ISIN!$C:$C,0))),)</f>
        <v/>
      </c>
      <c r="R553" s="36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5" t="str">
        <f t="shared" si="1"/>
        <v/>
      </c>
      <c r="T553" s="37" t="str">
        <f t="shared" si="2"/>
        <v/>
      </c>
      <c r="U553" s="38" t="str">
        <f t="shared" si="3"/>
        <v/>
      </c>
      <c r="V553" s="32" t="str">
        <f t="shared" si="4"/>
        <v/>
      </c>
      <c r="W553" s="39" t="str">
        <f>IFERROR(__xludf.DUMMYFUNCTION(" IF(Account!$F553&lt;&gt;"""", SPLIT(Account!$F553, "" ""), """")"),"")</f>
        <v/>
      </c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</row>
    <row r="554">
      <c r="A554" s="12"/>
      <c r="B554" s="12"/>
      <c r="C554" s="12"/>
      <c r="D554" s="12"/>
      <c r="E554" s="12"/>
      <c r="F554" s="13"/>
      <c r="G554" s="12"/>
      <c r="H554" s="12"/>
      <c r="I554" s="12"/>
      <c r="J554" s="12"/>
      <c r="K554" s="12"/>
      <c r="L554" s="13"/>
      <c r="M554" s="30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2" t="str">
        <f>IFERROR(__xludf.DUMMYFUNCTION("IF(Account!$F554&lt;&gt;"""", VALUE(REGEXREPLACE($I554, ""\,"", ""."")), """")"),"")</f>
        <v/>
      </c>
      <c r="O554" s="33" t="str">
        <f>IF(Account!$F554&lt;&gt;"", DATEVALUE(MID($A554,4,3) &amp; LEFT($A554,3) &amp; RIGHT($A554,4)) + TIMEVALUE($B554), "")</f>
        <v/>
      </c>
      <c r="P554" s="34" t="str">
        <f>IF(Account!$F554&lt;&gt;"", DATEVALUE(MID($C554,4,3) &amp; LEFT($C554,3) &amp; RIGHT($C554,4)), "")</f>
        <v/>
      </c>
      <c r="Q554" s="35" t="str">
        <f t="array" ref="Q554">IF($R554&lt;&gt;"",IFERROR(INDEX(ISIN!$B:$B,MATCH($R554,ISIN!$C:$C,0))),)</f>
        <v/>
      </c>
      <c r="R554" s="36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5" t="str">
        <f t="shared" si="1"/>
        <v/>
      </c>
      <c r="T554" s="37" t="str">
        <f t="shared" si="2"/>
        <v/>
      </c>
      <c r="U554" s="38" t="str">
        <f t="shared" si="3"/>
        <v/>
      </c>
      <c r="V554" s="32" t="str">
        <f t="shared" si="4"/>
        <v/>
      </c>
      <c r="W554" s="39" t="str">
        <f>IFERROR(__xludf.DUMMYFUNCTION(" IF(Account!$F554&lt;&gt;"""", SPLIT(Account!$F554, "" ""), """")"),"")</f>
        <v/>
      </c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</row>
    <row r="555">
      <c r="A555" s="12"/>
      <c r="B555" s="12"/>
      <c r="C555" s="12"/>
      <c r="D555" s="12"/>
      <c r="E555" s="12"/>
      <c r="F555" s="13"/>
      <c r="G555" s="12"/>
      <c r="H555" s="12"/>
      <c r="I555" s="12"/>
      <c r="J555" s="12"/>
      <c r="K555" s="12"/>
      <c r="L555" s="13"/>
      <c r="M555" s="30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2" t="str">
        <f>IFERROR(__xludf.DUMMYFUNCTION("IF(Account!$F555&lt;&gt;"""", VALUE(REGEXREPLACE($I555, ""\,"", ""."")), """")"),"")</f>
        <v/>
      </c>
      <c r="O555" s="33" t="str">
        <f>IF(Account!$F555&lt;&gt;"", DATEVALUE(MID($A555,4,3) &amp; LEFT($A555,3) &amp; RIGHT($A555,4)) + TIMEVALUE($B555), "")</f>
        <v/>
      </c>
      <c r="P555" s="34" t="str">
        <f>IF(Account!$F555&lt;&gt;"", DATEVALUE(MID($C555,4,3) &amp; LEFT($C555,3) &amp; RIGHT($C555,4)), "")</f>
        <v/>
      </c>
      <c r="Q555" s="35" t="str">
        <f t="array" ref="Q555">IF($R555&lt;&gt;"",IFERROR(INDEX(ISIN!$B:$B,MATCH($R555,ISIN!$C:$C,0))),)</f>
        <v/>
      </c>
      <c r="R555" s="36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5" t="str">
        <f t="shared" si="1"/>
        <v/>
      </c>
      <c r="T555" s="37" t="str">
        <f t="shared" si="2"/>
        <v/>
      </c>
      <c r="U555" s="38" t="str">
        <f t="shared" si="3"/>
        <v/>
      </c>
      <c r="V555" s="32" t="str">
        <f t="shared" si="4"/>
        <v/>
      </c>
      <c r="W555" s="39" t="str">
        <f>IFERROR(__xludf.DUMMYFUNCTION(" IF(Account!$F555&lt;&gt;"""", SPLIT(Account!$F555, "" ""), """")"),"")</f>
        <v/>
      </c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</row>
    <row r="556">
      <c r="A556" s="12"/>
      <c r="B556" s="12"/>
      <c r="C556" s="12"/>
      <c r="D556" s="12"/>
      <c r="E556" s="12"/>
      <c r="F556" s="13"/>
      <c r="G556" s="12"/>
      <c r="H556" s="12"/>
      <c r="I556" s="12"/>
      <c r="J556" s="12"/>
      <c r="K556" s="12"/>
      <c r="L556" s="13"/>
      <c r="M556" s="30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2" t="str">
        <f>IFERROR(__xludf.DUMMYFUNCTION("IF(Account!$F556&lt;&gt;"""", VALUE(REGEXREPLACE($I556, ""\,"", ""."")), """")"),"")</f>
        <v/>
      </c>
      <c r="O556" s="33" t="str">
        <f>IF(Account!$F556&lt;&gt;"", DATEVALUE(MID($A556,4,3) &amp; LEFT($A556,3) &amp; RIGHT($A556,4)) + TIMEVALUE($B556), "")</f>
        <v/>
      </c>
      <c r="P556" s="34" t="str">
        <f>IF(Account!$F556&lt;&gt;"", DATEVALUE(MID($C556,4,3) &amp; LEFT($C556,3) &amp; RIGHT($C556,4)), "")</f>
        <v/>
      </c>
      <c r="Q556" s="35" t="str">
        <f t="array" ref="Q556">IF($R556&lt;&gt;"",IFERROR(INDEX(ISIN!$B:$B,MATCH($R556,ISIN!$C:$C,0))),)</f>
        <v/>
      </c>
      <c r="R556" s="36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5" t="str">
        <f t="shared" si="1"/>
        <v/>
      </c>
      <c r="T556" s="37" t="str">
        <f t="shared" si="2"/>
        <v/>
      </c>
      <c r="U556" s="38" t="str">
        <f t="shared" si="3"/>
        <v/>
      </c>
      <c r="V556" s="32" t="str">
        <f t="shared" si="4"/>
        <v/>
      </c>
      <c r="W556" s="39" t="str">
        <f>IFERROR(__xludf.DUMMYFUNCTION(" IF(Account!$F556&lt;&gt;"""", SPLIT(Account!$F556, "" ""), """")"),"")</f>
        <v/>
      </c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</row>
    <row r="557">
      <c r="A557" s="12"/>
      <c r="B557" s="12"/>
      <c r="C557" s="12"/>
      <c r="D557" s="12"/>
      <c r="E557" s="12"/>
      <c r="F557" s="13"/>
      <c r="G557" s="291"/>
      <c r="H557" s="12"/>
      <c r="I557" s="12"/>
      <c r="J557" s="12"/>
      <c r="K557" s="12"/>
      <c r="L557" s="13"/>
      <c r="M557" s="30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2" t="str">
        <f>IFERROR(__xludf.DUMMYFUNCTION("IF(Account!$F557&lt;&gt;"""", VALUE(REGEXREPLACE($I557, ""\,"", ""."")), """")"),"")</f>
        <v/>
      </c>
      <c r="O557" s="33" t="str">
        <f>IF(Account!$F557&lt;&gt;"", DATEVALUE(MID($A557,4,3) &amp; LEFT($A557,3) &amp; RIGHT($A557,4)) + TIMEVALUE($B557), "")</f>
        <v/>
      </c>
      <c r="P557" s="34" t="str">
        <f>IF(Account!$F557&lt;&gt;"", DATEVALUE(MID($C557,4,3) &amp; LEFT($C557,3) &amp; RIGHT($C557,4)), "")</f>
        <v/>
      </c>
      <c r="Q557" s="35" t="str">
        <f t="array" ref="Q557">IF($R557&lt;&gt;"",IFERROR(INDEX(ISIN!$B:$B,MATCH($R557,ISIN!$C:$C,0))),)</f>
        <v/>
      </c>
      <c r="R557" s="36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5" t="str">
        <f t="shared" si="1"/>
        <v/>
      </c>
      <c r="T557" s="37" t="str">
        <f t="shared" si="2"/>
        <v/>
      </c>
      <c r="U557" s="38" t="str">
        <f t="shared" si="3"/>
        <v/>
      </c>
      <c r="V557" s="32" t="str">
        <f t="shared" si="4"/>
        <v/>
      </c>
      <c r="W557" s="39" t="str">
        <f>IFERROR(__xludf.DUMMYFUNCTION(" IF(Account!$F557&lt;&gt;"""", SPLIT(Account!$F557, "" ""), """")"),"")</f>
        <v/>
      </c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</row>
    <row r="558">
      <c r="A558" s="12"/>
      <c r="B558" s="12"/>
      <c r="C558" s="12"/>
      <c r="D558" s="12"/>
      <c r="E558" s="12"/>
      <c r="F558" s="13"/>
      <c r="G558" s="12"/>
      <c r="H558" s="12"/>
      <c r="I558" s="12"/>
      <c r="J558" s="12"/>
      <c r="K558" s="12"/>
      <c r="L558" s="13"/>
      <c r="M558" s="30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2" t="str">
        <f>IFERROR(__xludf.DUMMYFUNCTION("IF(Account!$F558&lt;&gt;"""", VALUE(REGEXREPLACE($I558, ""\,"", ""."")), """")"),"")</f>
        <v/>
      </c>
      <c r="O558" s="33" t="str">
        <f>IF(Account!$F558&lt;&gt;"", DATEVALUE(MID($A558,4,3) &amp; LEFT($A558,3) &amp; RIGHT($A558,4)) + TIMEVALUE($B558), "")</f>
        <v/>
      </c>
      <c r="P558" s="34" t="str">
        <f>IF(Account!$F558&lt;&gt;"", DATEVALUE(MID($C558,4,3) &amp; LEFT($C558,3) &amp; RIGHT($C558,4)), "")</f>
        <v/>
      </c>
      <c r="Q558" s="35" t="str">
        <f t="array" ref="Q558">IF($R558&lt;&gt;"",IFERROR(INDEX(ISIN!$B:$B,MATCH($R558,ISIN!$C:$C,0))),)</f>
        <v/>
      </c>
      <c r="R558" s="36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5" t="str">
        <f t="shared" si="1"/>
        <v/>
      </c>
      <c r="T558" s="37" t="str">
        <f t="shared" si="2"/>
        <v/>
      </c>
      <c r="U558" s="38" t="str">
        <f t="shared" si="3"/>
        <v/>
      </c>
      <c r="V558" s="32" t="str">
        <f t="shared" si="4"/>
        <v/>
      </c>
      <c r="W558" s="39" t="str">
        <f>IFERROR(__xludf.DUMMYFUNCTION(" IF(Account!$F558&lt;&gt;"""", SPLIT(Account!$F558, "" ""), """")"),"")</f>
        <v/>
      </c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</row>
    <row r="559">
      <c r="A559" s="12"/>
      <c r="B559" s="12"/>
      <c r="C559" s="12"/>
      <c r="D559" s="12"/>
      <c r="E559" s="12"/>
      <c r="F559" s="13"/>
      <c r="G559" s="291"/>
      <c r="H559" s="12"/>
      <c r="I559" s="12"/>
      <c r="J559" s="12"/>
      <c r="K559" s="12"/>
      <c r="L559" s="13"/>
      <c r="M559" s="30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2" t="str">
        <f>IFERROR(__xludf.DUMMYFUNCTION("IF(Account!$F559&lt;&gt;"""", VALUE(REGEXREPLACE($I559, ""\,"", ""."")), """")"),"")</f>
        <v/>
      </c>
      <c r="O559" s="33" t="str">
        <f>IF(Account!$F559&lt;&gt;"", DATEVALUE(MID($A559,4,3) &amp; LEFT($A559,3) &amp; RIGHT($A559,4)) + TIMEVALUE($B559), "")</f>
        <v/>
      </c>
      <c r="P559" s="34" t="str">
        <f>IF(Account!$F559&lt;&gt;"", DATEVALUE(MID($C559,4,3) &amp; LEFT($C559,3) &amp; RIGHT($C559,4)), "")</f>
        <v/>
      </c>
      <c r="Q559" s="35" t="str">
        <f t="array" ref="Q559">IF($R559&lt;&gt;"",IFERROR(INDEX(ISIN!$B:$B,MATCH($R559,ISIN!$C:$C,0))),)</f>
        <v/>
      </c>
      <c r="R559" s="36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5" t="str">
        <f t="shared" si="1"/>
        <v/>
      </c>
      <c r="T559" s="37" t="str">
        <f t="shared" si="2"/>
        <v/>
      </c>
      <c r="U559" s="38" t="str">
        <f t="shared" si="3"/>
        <v/>
      </c>
      <c r="V559" s="32" t="str">
        <f t="shared" si="4"/>
        <v/>
      </c>
      <c r="W559" s="39" t="str">
        <f>IFERROR(__xludf.DUMMYFUNCTION(" IF(Account!$F559&lt;&gt;"""", SPLIT(Account!$F559, "" ""), """")"),"")</f>
        <v/>
      </c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</row>
    <row r="560">
      <c r="A560" s="12"/>
      <c r="B560" s="12"/>
      <c r="C560" s="12"/>
      <c r="D560" s="12"/>
      <c r="E560" s="12"/>
      <c r="F560" s="13"/>
      <c r="G560" s="12"/>
      <c r="H560" s="12"/>
      <c r="I560" s="12"/>
      <c r="J560" s="12"/>
      <c r="K560" s="12"/>
      <c r="L560" s="13"/>
      <c r="M560" s="30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2" t="str">
        <f>IFERROR(__xludf.DUMMYFUNCTION("IF(Account!$F560&lt;&gt;"""", VALUE(REGEXREPLACE($I560, ""\,"", ""."")), """")"),"")</f>
        <v/>
      </c>
      <c r="O560" s="33" t="str">
        <f>IF(Account!$F560&lt;&gt;"", DATEVALUE(MID($A560,4,3) &amp; LEFT($A560,3) &amp; RIGHT($A560,4)) + TIMEVALUE($B560), "")</f>
        <v/>
      </c>
      <c r="P560" s="34" t="str">
        <f>IF(Account!$F560&lt;&gt;"", DATEVALUE(MID($C560,4,3) &amp; LEFT($C560,3) &amp; RIGHT($C560,4)), "")</f>
        <v/>
      </c>
      <c r="Q560" s="35" t="str">
        <f t="array" ref="Q560">IF($R560&lt;&gt;"",IFERROR(INDEX(ISIN!$B:$B,MATCH($R560,ISIN!$C:$C,0))),)</f>
        <v/>
      </c>
      <c r="R560" s="36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5" t="str">
        <f t="shared" si="1"/>
        <v/>
      </c>
      <c r="T560" s="37" t="str">
        <f t="shared" si="2"/>
        <v/>
      </c>
      <c r="U560" s="38" t="str">
        <f t="shared" si="3"/>
        <v/>
      </c>
      <c r="V560" s="32" t="str">
        <f t="shared" si="4"/>
        <v/>
      </c>
      <c r="W560" s="39" t="str">
        <f>IFERROR(__xludf.DUMMYFUNCTION(" IF(Account!$F560&lt;&gt;"""", SPLIT(Account!$F560, "" ""), """")"),"")</f>
        <v/>
      </c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</row>
    <row r="561">
      <c r="A561" s="12"/>
      <c r="B561" s="12"/>
      <c r="C561" s="12"/>
      <c r="D561" s="12"/>
      <c r="E561" s="12"/>
      <c r="F561" s="13"/>
      <c r="G561" s="291"/>
      <c r="H561" s="12"/>
      <c r="I561" s="12"/>
      <c r="J561" s="12"/>
      <c r="K561" s="12"/>
      <c r="L561" s="13"/>
      <c r="M561" s="30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2" t="str">
        <f>IFERROR(__xludf.DUMMYFUNCTION("IF(Account!$F561&lt;&gt;"""", VALUE(REGEXREPLACE($I561, ""\,"", ""."")), """")"),"")</f>
        <v/>
      </c>
      <c r="O561" s="33" t="str">
        <f>IF(Account!$F561&lt;&gt;"", DATEVALUE(MID($A561,4,3) &amp; LEFT($A561,3) &amp; RIGHT($A561,4)) + TIMEVALUE($B561), "")</f>
        <v/>
      </c>
      <c r="P561" s="34" t="str">
        <f>IF(Account!$F561&lt;&gt;"", DATEVALUE(MID($C561,4,3) &amp; LEFT($C561,3) &amp; RIGHT($C561,4)), "")</f>
        <v/>
      </c>
      <c r="Q561" s="35" t="str">
        <f t="array" ref="Q561">IF($R561&lt;&gt;"",IFERROR(INDEX(ISIN!$B:$B,MATCH($R561,ISIN!$C:$C,0))),)</f>
        <v/>
      </c>
      <c r="R561" s="36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5" t="str">
        <f t="shared" si="1"/>
        <v/>
      </c>
      <c r="T561" s="37" t="str">
        <f t="shared" si="2"/>
        <v/>
      </c>
      <c r="U561" s="38" t="str">
        <f t="shared" si="3"/>
        <v/>
      </c>
      <c r="V561" s="32" t="str">
        <f t="shared" si="4"/>
        <v/>
      </c>
      <c r="W561" s="39" t="str">
        <f>IFERROR(__xludf.DUMMYFUNCTION(" IF(Account!$F561&lt;&gt;"""", SPLIT(Account!$F561, "" ""), """")"),"")</f>
        <v/>
      </c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</row>
    <row r="562">
      <c r="A562" s="12"/>
      <c r="B562" s="12"/>
      <c r="C562" s="12"/>
      <c r="D562" s="12"/>
      <c r="E562" s="12"/>
      <c r="F562" s="13"/>
      <c r="G562" s="291"/>
      <c r="H562" s="12"/>
      <c r="I562" s="12"/>
      <c r="J562" s="12"/>
      <c r="K562" s="12"/>
      <c r="L562" s="13"/>
      <c r="M562" s="30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2" t="str">
        <f>IFERROR(__xludf.DUMMYFUNCTION("IF(Account!$F562&lt;&gt;"""", VALUE(REGEXREPLACE($I562, ""\,"", ""."")), """")"),"")</f>
        <v/>
      </c>
      <c r="O562" s="33" t="str">
        <f>IF(Account!$F562&lt;&gt;"", DATEVALUE(MID($A562,4,3) &amp; LEFT($A562,3) &amp; RIGHT($A562,4)) + TIMEVALUE($B562), "")</f>
        <v/>
      </c>
      <c r="P562" s="34" t="str">
        <f>IF(Account!$F562&lt;&gt;"", DATEVALUE(MID($C562,4,3) &amp; LEFT($C562,3) &amp; RIGHT($C562,4)), "")</f>
        <v/>
      </c>
      <c r="Q562" s="35" t="str">
        <f t="array" ref="Q562">IF($R562&lt;&gt;"",IFERROR(INDEX(ISIN!$B:$B,MATCH($R562,ISIN!$C:$C,0))),)</f>
        <v/>
      </c>
      <c r="R562" s="36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5" t="str">
        <f t="shared" si="1"/>
        <v/>
      </c>
      <c r="T562" s="37" t="str">
        <f t="shared" si="2"/>
        <v/>
      </c>
      <c r="U562" s="38" t="str">
        <f t="shared" si="3"/>
        <v/>
      </c>
      <c r="V562" s="32" t="str">
        <f t="shared" si="4"/>
        <v/>
      </c>
      <c r="W562" s="39" t="str">
        <f>IFERROR(__xludf.DUMMYFUNCTION(" IF(Account!$F562&lt;&gt;"""", SPLIT(Account!$F562, "" ""), """")"),"")</f>
        <v/>
      </c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</row>
    <row r="563">
      <c r="A563" s="12"/>
      <c r="B563" s="12"/>
      <c r="C563" s="12"/>
      <c r="D563" s="12"/>
      <c r="E563" s="12"/>
      <c r="F563" s="13"/>
      <c r="G563" s="291"/>
      <c r="H563" s="12"/>
      <c r="I563" s="12"/>
      <c r="J563" s="12"/>
      <c r="K563" s="12"/>
      <c r="L563" s="13"/>
      <c r="M563" s="30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2" t="str">
        <f>IFERROR(__xludf.DUMMYFUNCTION("IF(Account!$F563&lt;&gt;"""", VALUE(REGEXREPLACE($I563, ""\,"", ""."")), """")"),"")</f>
        <v/>
      </c>
      <c r="O563" s="33" t="str">
        <f>IF(Account!$F563&lt;&gt;"", DATEVALUE(MID($A563,4,3) &amp; LEFT($A563,3) &amp; RIGHT($A563,4)) + TIMEVALUE($B563), "")</f>
        <v/>
      </c>
      <c r="P563" s="34" t="str">
        <f>IF(Account!$F563&lt;&gt;"", DATEVALUE(MID($C563,4,3) &amp; LEFT($C563,3) &amp; RIGHT($C563,4)), "")</f>
        <v/>
      </c>
      <c r="Q563" s="35" t="str">
        <f t="array" ref="Q563">IF($R563&lt;&gt;"",IFERROR(INDEX(ISIN!$B:$B,MATCH($R563,ISIN!$C:$C,0))),)</f>
        <v/>
      </c>
      <c r="R563" s="36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5" t="str">
        <f t="shared" si="1"/>
        <v/>
      </c>
      <c r="T563" s="37" t="str">
        <f t="shared" si="2"/>
        <v/>
      </c>
      <c r="U563" s="38" t="str">
        <f t="shared" si="3"/>
        <v/>
      </c>
      <c r="V563" s="32" t="str">
        <f t="shared" si="4"/>
        <v/>
      </c>
      <c r="W563" s="39" t="str">
        <f>IFERROR(__xludf.DUMMYFUNCTION(" IF(Account!$F563&lt;&gt;"""", SPLIT(Account!$F563, "" ""), """")"),"")</f>
        <v/>
      </c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</row>
    <row r="564">
      <c r="A564" s="12"/>
      <c r="B564" s="12"/>
      <c r="C564" s="12"/>
      <c r="D564" s="12"/>
      <c r="E564" s="12"/>
      <c r="F564" s="13"/>
      <c r="G564" s="291"/>
      <c r="H564" s="12"/>
      <c r="I564" s="12"/>
      <c r="J564" s="12"/>
      <c r="K564" s="12"/>
      <c r="L564" s="13"/>
      <c r="M564" s="30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2" t="str">
        <f>IFERROR(__xludf.DUMMYFUNCTION("IF(Account!$F564&lt;&gt;"""", VALUE(REGEXREPLACE($I564, ""\,"", ""."")), """")"),"")</f>
        <v/>
      </c>
      <c r="O564" s="33" t="str">
        <f>IF(Account!$F564&lt;&gt;"", DATEVALUE(MID($A564,4,3) &amp; LEFT($A564,3) &amp; RIGHT($A564,4)) + TIMEVALUE($B564), "")</f>
        <v/>
      </c>
      <c r="P564" s="34" t="str">
        <f>IF(Account!$F564&lt;&gt;"", DATEVALUE(MID($C564,4,3) &amp; LEFT($C564,3) &amp; RIGHT($C564,4)), "")</f>
        <v/>
      </c>
      <c r="Q564" s="35" t="str">
        <f t="array" ref="Q564">IF($R564&lt;&gt;"",IFERROR(INDEX(ISIN!$B:$B,MATCH($R564,ISIN!$C:$C,0))),)</f>
        <v/>
      </c>
      <c r="R564" s="36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5" t="str">
        <f t="shared" si="1"/>
        <v/>
      </c>
      <c r="T564" s="37" t="str">
        <f t="shared" si="2"/>
        <v/>
      </c>
      <c r="U564" s="38" t="str">
        <f t="shared" si="3"/>
        <v/>
      </c>
      <c r="V564" s="32" t="str">
        <f t="shared" si="4"/>
        <v/>
      </c>
      <c r="W564" s="39" t="str">
        <f>IFERROR(__xludf.DUMMYFUNCTION(" IF(Account!$F564&lt;&gt;"""", SPLIT(Account!$F564, "" ""), """")"),"")</f>
        <v/>
      </c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</row>
    <row r="565">
      <c r="A565" s="12"/>
      <c r="B565" s="12"/>
      <c r="C565" s="12"/>
      <c r="D565" s="12"/>
      <c r="E565" s="12"/>
      <c r="F565" s="13"/>
      <c r="G565" s="291"/>
      <c r="H565" s="12"/>
      <c r="I565" s="12"/>
      <c r="J565" s="12"/>
      <c r="K565" s="12"/>
      <c r="L565" s="13"/>
      <c r="M565" s="30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2" t="str">
        <f>IFERROR(__xludf.DUMMYFUNCTION("IF(Account!$F565&lt;&gt;"""", VALUE(REGEXREPLACE($I565, ""\,"", ""."")), """")"),"")</f>
        <v/>
      </c>
      <c r="O565" s="33" t="str">
        <f>IF(Account!$F565&lt;&gt;"", DATEVALUE(MID($A565,4,3) &amp; LEFT($A565,3) &amp; RIGHT($A565,4)) + TIMEVALUE($B565), "")</f>
        <v/>
      </c>
      <c r="P565" s="34" t="str">
        <f>IF(Account!$F565&lt;&gt;"", DATEVALUE(MID($C565,4,3) &amp; LEFT($C565,3) &amp; RIGHT($C565,4)), "")</f>
        <v/>
      </c>
      <c r="Q565" s="35" t="str">
        <f t="array" ref="Q565">IF($R565&lt;&gt;"",IFERROR(INDEX(ISIN!$B:$B,MATCH($R565,ISIN!$C:$C,0))),)</f>
        <v/>
      </c>
      <c r="R565" s="36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5" t="str">
        <f t="shared" si="1"/>
        <v/>
      </c>
      <c r="T565" s="37" t="str">
        <f t="shared" si="2"/>
        <v/>
      </c>
      <c r="U565" s="38" t="str">
        <f t="shared" si="3"/>
        <v/>
      </c>
      <c r="V565" s="32" t="str">
        <f t="shared" si="4"/>
        <v/>
      </c>
      <c r="W565" s="39" t="str">
        <f>IFERROR(__xludf.DUMMYFUNCTION(" IF(Account!$F565&lt;&gt;"""", SPLIT(Account!$F565, "" ""), """")"),"")</f>
        <v/>
      </c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</row>
    <row r="566">
      <c r="A566" s="12"/>
      <c r="B566" s="12"/>
      <c r="C566" s="12"/>
      <c r="D566" s="12"/>
      <c r="E566" s="12"/>
      <c r="F566" s="13"/>
      <c r="G566" s="291"/>
      <c r="H566" s="12"/>
      <c r="I566" s="12"/>
      <c r="J566" s="12"/>
      <c r="K566" s="12"/>
      <c r="L566" s="13"/>
      <c r="M566" s="30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2" t="str">
        <f>IFERROR(__xludf.DUMMYFUNCTION("IF(Account!$F566&lt;&gt;"""", VALUE(REGEXREPLACE($I566, ""\,"", ""."")), """")"),"")</f>
        <v/>
      </c>
      <c r="O566" s="33" t="str">
        <f>IF(Account!$F566&lt;&gt;"", DATEVALUE(MID($A566,4,3) &amp; LEFT($A566,3) &amp; RIGHT($A566,4)) + TIMEVALUE($B566), "")</f>
        <v/>
      </c>
      <c r="P566" s="34" t="str">
        <f>IF(Account!$F566&lt;&gt;"", DATEVALUE(MID($C566,4,3) &amp; LEFT($C566,3) &amp; RIGHT($C566,4)), "")</f>
        <v/>
      </c>
      <c r="Q566" s="35" t="str">
        <f t="array" ref="Q566">IF($R566&lt;&gt;"",IFERROR(INDEX(ISIN!$B:$B,MATCH($R566,ISIN!$C:$C,0))),)</f>
        <v/>
      </c>
      <c r="R566" s="36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5" t="str">
        <f t="shared" si="1"/>
        <v/>
      </c>
      <c r="T566" s="37" t="str">
        <f t="shared" si="2"/>
        <v/>
      </c>
      <c r="U566" s="38" t="str">
        <f t="shared" si="3"/>
        <v/>
      </c>
      <c r="V566" s="32" t="str">
        <f t="shared" si="4"/>
        <v/>
      </c>
      <c r="W566" s="39" t="str">
        <f>IFERROR(__xludf.DUMMYFUNCTION(" IF(Account!$F566&lt;&gt;"""", SPLIT(Account!$F566, "" ""), """")"),"")</f>
        <v/>
      </c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</row>
    <row r="567">
      <c r="A567" s="12"/>
      <c r="B567" s="12"/>
      <c r="C567" s="12"/>
      <c r="D567" s="12"/>
      <c r="E567" s="12"/>
      <c r="F567" s="13"/>
      <c r="G567" s="291"/>
      <c r="H567" s="12"/>
      <c r="I567" s="12"/>
      <c r="J567" s="12"/>
      <c r="K567" s="12"/>
      <c r="L567" s="13"/>
      <c r="M567" s="30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2" t="str">
        <f>IFERROR(__xludf.DUMMYFUNCTION("IF(Account!$F567&lt;&gt;"""", VALUE(REGEXREPLACE($I567, ""\,"", ""."")), """")"),"")</f>
        <v/>
      </c>
      <c r="O567" s="33" t="str">
        <f>IF(Account!$F567&lt;&gt;"", DATEVALUE(MID($A567,4,3) &amp; LEFT($A567,3) &amp; RIGHT($A567,4)) + TIMEVALUE($B567), "")</f>
        <v/>
      </c>
      <c r="P567" s="34" t="str">
        <f>IF(Account!$F567&lt;&gt;"", DATEVALUE(MID($C567,4,3) &amp; LEFT($C567,3) &amp; RIGHT($C567,4)), "")</f>
        <v/>
      </c>
      <c r="Q567" s="35" t="str">
        <f t="array" ref="Q567">IF($R567&lt;&gt;"",IFERROR(INDEX(ISIN!$B:$B,MATCH($R567,ISIN!$C:$C,0))),)</f>
        <v/>
      </c>
      <c r="R567" s="36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5" t="str">
        <f t="shared" si="1"/>
        <v/>
      </c>
      <c r="T567" s="37" t="str">
        <f t="shared" si="2"/>
        <v/>
      </c>
      <c r="U567" s="38" t="str">
        <f t="shared" si="3"/>
        <v/>
      </c>
      <c r="V567" s="32" t="str">
        <f t="shared" si="4"/>
        <v/>
      </c>
      <c r="W567" s="39" t="str">
        <f>IFERROR(__xludf.DUMMYFUNCTION(" IF(Account!$F567&lt;&gt;"""", SPLIT(Account!$F567, "" ""), """")"),"")</f>
        <v/>
      </c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</row>
    <row r="568">
      <c r="A568" s="12"/>
      <c r="B568" s="12"/>
      <c r="C568" s="12"/>
      <c r="D568" s="12"/>
      <c r="E568" s="12"/>
      <c r="F568" s="13"/>
      <c r="G568" s="12"/>
      <c r="H568" s="12"/>
      <c r="I568" s="12"/>
      <c r="J568" s="12"/>
      <c r="K568" s="12"/>
      <c r="L568" s="13"/>
      <c r="M568" s="30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2" t="str">
        <f>IFERROR(__xludf.DUMMYFUNCTION("IF(Account!$F568&lt;&gt;"""", VALUE(REGEXREPLACE($I568, ""\,"", ""."")), """")"),"")</f>
        <v/>
      </c>
      <c r="O568" s="33" t="str">
        <f>IF(Account!$F568&lt;&gt;"", DATEVALUE(MID($A568,4,3) &amp; LEFT($A568,3) &amp; RIGHT($A568,4)) + TIMEVALUE($B568), "")</f>
        <v/>
      </c>
      <c r="P568" s="34" t="str">
        <f>IF(Account!$F568&lt;&gt;"", DATEVALUE(MID($C568,4,3) &amp; LEFT($C568,3) &amp; RIGHT($C568,4)), "")</f>
        <v/>
      </c>
      <c r="Q568" s="35" t="str">
        <f t="array" ref="Q568">IF($R568&lt;&gt;"",IFERROR(INDEX(ISIN!$B:$B,MATCH($R568,ISIN!$C:$C,0))),)</f>
        <v/>
      </c>
      <c r="R568" s="36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5" t="str">
        <f t="shared" si="1"/>
        <v/>
      </c>
      <c r="T568" s="37" t="str">
        <f t="shared" si="2"/>
        <v/>
      </c>
      <c r="U568" s="38" t="str">
        <f t="shared" si="3"/>
        <v/>
      </c>
      <c r="V568" s="32" t="str">
        <f t="shared" si="4"/>
        <v/>
      </c>
      <c r="W568" s="39" t="str">
        <f>IFERROR(__xludf.DUMMYFUNCTION(" IF(Account!$F568&lt;&gt;"""", SPLIT(Account!$F568, "" ""), """")"),"")</f>
        <v/>
      </c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</row>
    <row r="569">
      <c r="A569" s="12"/>
      <c r="B569" s="12"/>
      <c r="C569" s="12"/>
      <c r="D569" s="12"/>
      <c r="E569" s="12"/>
      <c r="F569" s="13"/>
      <c r="G569" s="291"/>
      <c r="H569" s="12"/>
      <c r="I569" s="12"/>
      <c r="J569" s="12"/>
      <c r="K569" s="12"/>
      <c r="L569" s="13"/>
      <c r="M569" s="30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2" t="str">
        <f>IFERROR(__xludf.DUMMYFUNCTION("IF(Account!$F569&lt;&gt;"""", VALUE(REGEXREPLACE($I569, ""\,"", ""."")), """")"),"")</f>
        <v/>
      </c>
      <c r="O569" s="33" t="str">
        <f>IF(Account!$F569&lt;&gt;"", DATEVALUE(MID($A569,4,3) &amp; LEFT($A569,3) &amp; RIGHT($A569,4)) + TIMEVALUE($B569), "")</f>
        <v/>
      </c>
      <c r="P569" s="34" t="str">
        <f>IF(Account!$F569&lt;&gt;"", DATEVALUE(MID($C569,4,3) &amp; LEFT($C569,3) &amp; RIGHT($C569,4)), "")</f>
        <v/>
      </c>
      <c r="Q569" s="35" t="str">
        <f t="array" ref="Q569">IF($R569&lt;&gt;"",IFERROR(INDEX(ISIN!$B:$B,MATCH($R569,ISIN!$C:$C,0))),)</f>
        <v/>
      </c>
      <c r="R569" s="36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5" t="str">
        <f t="shared" si="1"/>
        <v/>
      </c>
      <c r="T569" s="37" t="str">
        <f t="shared" si="2"/>
        <v/>
      </c>
      <c r="U569" s="38" t="str">
        <f t="shared" si="3"/>
        <v/>
      </c>
      <c r="V569" s="32" t="str">
        <f t="shared" si="4"/>
        <v/>
      </c>
      <c r="W569" s="39" t="str">
        <f>IFERROR(__xludf.DUMMYFUNCTION(" IF(Account!$F569&lt;&gt;"""", SPLIT(Account!$F569, "" ""), """")"),"")</f>
        <v/>
      </c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</row>
    <row r="570">
      <c r="A570" s="12"/>
      <c r="B570" s="12"/>
      <c r="C570" s="12"/>
      <c r="D570" s="12"/>
      <c r="E570" s="12"/>
      <c r="F570" s="13"/>
      <c r="G570" s="12"/>
      <c r="H570" s="12"/>
      <c r="I570" s="12"/>
      <c r="J570" s="12"/>
      <c r="K570" s="12"/>
      <c r="L570" s="13"/>
      <c r="M570" s="30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2" t="str">
        <f>IFERROR(__xludf.DUMMYFUNCTION("IF(Account!$F570&lt;&gt;"""", VALUE(REGEXREPLACE($I570, ""\,"", ""."")), """")"),"")</f>
        <v/>
      </c>
      <c r="O570" s="33" t="str">
        <f>IF(Account!$F570&lt;&gt;"", DATEVALUE(MID($A570,4,3) &amp; LEFT($A570,3) &amp; RIGHT($A570,4)) + TIMEVALUE($B570), "")</f>
        <v/>
      </c>
      <c r="P570" s="34" t="str">
        <f>IF(Account!$F570&lt;&gt;"", DATEVALUE(MID($C570,4,3) &amp; LEFT($C570,3) &amp; RIGHT($C570,4)), "")</f>
        <v/>
      </c>
      <c r="Q570" s="35" t="str">
        <f t="array" ref="Q570">IF($R570&lt;&gt;"",IFERROR(INDEX(ISIN!$B:$B,MATCH($R570,ISIN!$C:$C,0))),)</f>
        <v/>
      </c>
      <c r="R570" s="36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5" t="str">
        <f t="shared" si="1"/>
        <v/>
      </c>
      <c r="T570" s="37" t="str">
        <f t="shared" si="2"/>
        <v/>
      </c>
      <c r="U570" s="38" t="str">
        <f t="shared" si="3"/>
        <v/>
      </c>
      <c r="V570" s="32" t="str">
        <f t="shared" si="4"/>
        <v/>
      </c>
      <c r="W570" s="39" t="str">
        <f>IFERROR(__xludf.DUMMYFUNCTION(" IF(Account!$F570&lt;&gt;"""", SPLIT(Account!$F570, "" ""), """")"),"")</f>
        <v/>
      </c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</row>
    <row r="571">
      <c r="A571" s="12"/>
      <c r="B571" s="12"/>
      <c r="C571" s="12"/>
      <c r="D571" s="12"/>
      <c r="E571" s="12"/>
      <c r="F571" s="13"/>
      <c r="G571" s="12"/>
      <c r="H571" s="12"/>
      <c r="I571" s="12"/>
      <c r="J571" s="12"/>
      <c r="K571" s="12"/>
      <c r="L571" s="13"/>
      <c r="M571" s="30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2" t="str">
        <f>IFERROR(__xludf.DUMMYFUNCTION("IF(Account!$F571&lt;&gt;"""", VALUE(REGEXREPLACE($I571, ""\,"", ""."")), """")"),"")</f>
        <v/>
      </c>
      <c r="O571" s="33" t="str">
        <f>IF(Account!$F571&lt;&gt;"", DATEVALUE(MID($A571,4,3) &amp; LEFT($A571,3) &amp; RIGHT($A571,4)) + TIMEVALUE($B571), "")</f>
        <v/>
      </c>
      <c r="P571" s="34" t="str">
        <f>IF(Account!$F571&lt;&gt;"", DATEVALUE(MID($C571,4,3) &amp; LEFT($C571,3) &amp; RIGHT($C571,4)), "")</f>
        <v/>
      </c>
      <c r="Q571" s="35" t="str">
        <f t="array" ref="Q571">IF($R571&lt;&gt;"",IFERROR(INDEX(ISIN!$B:$B,MATCH($R571,ISIN!$C:$C,0))),)</f>
        <v/>
      </c>
      <c r="R571" s="36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5" t="str">
        <f t="shared" si="1"/>
        <v/>
      </c>
      <c r="T571" s="37" t="str">
        <f t="shared" si="2"/>
        <v/>
      </c>
      <c r="U571" s="38" t="str">
        <f t="shared" si="3"/>
        <v/>
      </c>
      <c r="V571" s="32" t="str">
        <f t="shared" si="4"/>
        <v/>
      </c>
      <c r="W571" s="39" t="str">
        <f>IFERROR(__xludf.DUMMYFUNCTION(" IF(Account!$F571&lt;&gt;"""", SPLIT(Account!$F571, "" ""), """")"),"")</f>
        <v/>
      </c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</row>
    <row r="572">
      <c r="A572" s="12"/>
      <c r="B572" s="12"/>
      <c r="C572" s="12"/>
      <c r="D572" s="12"/>
      <c r="E572" s="12"/>
      <c r="F572" s="13"/>
      <c r="G572" s="291"/>
      <c r="H572" s="12"/>
      <c r="I572" s="12"/>
      <c r="J572" s="12"/>
      <c r="K572" s="12"/>
      <c r="L572" s="13"/>
      <c r="M572" s="30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2" t="str">
        <f>IFERROR(__xludf.DUMMYFUNCTION("IF(Account!$F572&lt;&gt;"""", VALUE(REGEXREPLACE($I572, ""\,"", ""."")), """")"),"")</f>
        <v/>
      </c>
      <c r="O572" s="33" t="str">
        <f>IF(Account!$F572&lt;&gt;"", DATEVALUE(MID($A572,4,3) &amp; LEFT($A572,3) &amp; RIGHT($A572,4)) + TIMEVALUE($B572), "")</f>
        <v/>
      </c>
      <c r="P572" s="34" t="str">
        <f>IF(Account!$F572&lt;&gt;"", DATEVALUE(MID($C572,4,3) &amp; LEFT($C572,3) &amp; RIGHT($C572,4)), "")</f>
        <v/>
      </c>
      <c r="Q572" s="35" t="str">
        <f t="array" ref="Q572">IF($R572&lt;&gt;"",IFERROR(INDEX(ISIN!$B:$B,MATCH($R572,ISIN!$C:$C,0))),)</f>
        <v/>
      </c>
      <c r="R572" s="36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5" t="str">
        <f t="shared" si="1"/>
        <v/>
      </c>
      <c r="T572" s="37" t="str">
        <f t="shared" si="2"/>
        <v/>
      </c>
      <c r="U572" s="38" t="str">
        <f t="shared" si="3"/>
        <v/>
      </c>
      <c r="V572" s="32" t="str">
        <f t="shared" si="4"/>
        <v/>
      </c>
      <c r="W572" s="39" t="str">
        <f>IFERROR(__xludf.DUMMYFUNCTION(" IF(Account!$F572&lt;&gt;"""", SPLIT(Account!$F572, "" ""), """")"),"")</f>
        <v/>
      </c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</row>
    <row r="573">
      <c r="A573" s="12"/>
      <c r="B573" s="12"/>
      <c r="C573" s="12"/>
      <c r="D573" s="12"/>
      <c r="E573" s="12"/>
      <c r="F573" s="13"/>
      <c r="G573" s="291"/>
      <c r="H573" s="12"/>
      <c r="I573" s="12"/>
      <c r="J573" s="12"/>
      <c r="K573" s="12"/>
      <c r="L573" s="13"/>
      <c r="M573" s="30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2" t="str">
        <f>IFERROR(__xludf.DUMMYFUNCTION("IF(Account!$F573&lt;&gt;"""", VALUE(REGEXREPLACE($I573, ""\,"", ""."")), """")"),"")</f>
        <v/>
      </c>
      <c r="O573" s="33" t="str">
        <f>IF(Account!$F573&lt;&gt;"", DATEVALUE(MID($A573,4,3) &amp; LEFT($A573,3) &amp; RIGHT($A573,4)) + TIMEVALUE($B573), "")</f>
        <v/>
      </c>
      <c r="P573" s="34" t="str">
        <f>IF(Account!$F573&lt;&gt;"", DATEVALUE(MID($C573,4,3) &amp; LEFT($C573,3) &amp; RIGHT($C573,4)), "")</f>
        <v/>
      </c>
      <c r="Q573" s="35" t="str">
        <f t="array" ref="Q573">IF($R573&lt;&gt;"",IFERROR(INDEX(ISIN!$B:$B,MATCH($R573,ISIN!$C:$C,0))),)</f>
        <v/>
      </c>
      <c r="R573" s="36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5" t="str">
        <f t="shared" si="1"/>
        <v/>
      </c>
      <c r="T573" s="37" t="str">
        <f t="shared" si="2"/>
        <v/>
      </c>
      <c r="U573" s="38" t="str">
        <f t="shared" si="3"/>
        <v/>
      </c>
      <c r="V573" s="32" t="str">
        <f t="shared" si="4"/>
        <v/>
      </c>
      <c r="W573" s="39" t="str">
        <f>IFERROR(__xludf.DUMMYFUNCTION(" IF(Account!$F573&lt;&gt;"""", SPLIT(Account!$F573, "" ""), """")"),"")</f>
        <v/>
      </c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</row>
    <row r="574">
      <c r="A574" s="12"/>
      <c r="B574" s="12"/>
      <c r="C574" s="12"/>
      <c r="D574" s="291"/>
      <c r="E574" s="291"/>
      <c r="F574" s="13"/>
      <c r="G574" s="291"/>
      <c r="H574" s="12"/>
      <c r="I574" s="12"/>
      <c r="J574" s="12"/>
      <c r="K574" s="12"/>
      <c r="L574" s="13"/>
      <c r="M574" s="30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2" t="str">
        <f>IFERROR(__xludf.DUMMYFUNCTION("IF(Account!$F574&lt;&gt;"""", VALUE(REGEXREPLACE($I574, ""\,"", ""."")), """")"),"")</f>
        <v/>
      </c>
      <c r="O574" s="33" t="str">
        <f>IF(Account!$F574&lt;&gt;"", DATEVALUE(MID($A574,4,3) &amp; LEFT($A574,3) &amp; RIGHT($A574,4)) + TIMEVALUE($B574), "")</f>
        <v/>
      </c>
      <c r="P574" s="34" t="str">
        <f>IF(Account!$F574&lt;&gt;"", DATEVALUE(MID($C574,4,3) &amp; LEFT($C574,3) &amp; RIGHT($C574,4)), "")</f>
        <v/>
      </c>
      <c r="Q574" s="35" t="str">
        <f t="array" ref="Q574">IF($R574&lt;&gt;"",IFERROR(INDEX(ISIN!$B:$B,MATCH($R574,ISIN!$C:$C,0))),)</f>
        <v/>
      </c>
      <c r="R574" s="36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5" t="str">
        <f t="shared" si="1"/>
        <v/>
      </c>
      <c r="T574" s="37" t="str">
        <f t="shared" si="2"/>
        <v/>
      </c>
      <c r="U574" s="38" t="str">
        <f t="shared" si="3"/>
        <v/>
      </c>
      <c r="V574" s="32" t="str">
        <f t="shared" si="4"/>
        <v/>
      </c>
      <c r="W574" s="39" t="str">
        <f>IFERROR(__xludf.DUMMYFUNCTION(" IF(Account!$F574&lt;&gt;"""", SPLIT(Account!$F574, "" ""), """")"),"")</f>
        <v/>
      </c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</row>
    <row r="575">
      <c r="A575" s="12"/>
      <c r="B575" s="12"/>
      <c r="C575" s="12"/>
      <c r="D575" s="291"/>
      <c r="E575" s="291"/>
      <c r="F575" s="13"/>
      <c r="G575" s="12"/>
      <c r="H575" s="12"/>
      <c r="I575" s="12"/>
      <c r="J575" s="12"/>
      <c r="K575" s="12"/>
      <c r="L575" s="13"/>
      <c r="M575" s="30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2" t="str">
        <f>IFERROR(__xludf.DUMMYFUNCTION("IF(Account!$F575&lt;&gt;"""", VALUE(REGEXREPLACE($I575, ""\,"", ""."")), """")"),"")</f>
        <v/>
      </c>
      <c r="O575" s="33" t="str">
        <f>IF(Account!$F575&lt;&gt;"", DATEVALUE(MID($A575,4,3) &amp; LEFT($A575,3) &amp; RIGHT($A575,4)) + TIMEVALUE($B575), "")</f>
        <v/>
      </c>
      <c r="P575" s="34" t="str">
        <f>IF(Account!$F575&lt;&gt;"", DATEVALUE(MID($C575,4,3) &amp; LEFT($C575,3) &amp; RIGHT($C575,4)), "")</f>
        <v/>
      </c>
      <c r="Q575" s="35" t="str">
        <f t="array" ref="Q575">IF($R575&lt;&gt;"",IFERROR(INDEX(ISIN!$B:$B,MATCH($R575,ISIN!$C:$C,0))),)</f>
        <v/>
      </c>
      <c r="R575" s="36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5" t="str">
        <f t="shared" si="1"/>
        <v/>
      </c>
      <c r="T575" s="37" t="str">
        <f t="shared" si="2"/>
        <v/>
      </c>
      <c r="U575" s="38" t="str">
        <f t="shared" si="3"/>
        <v/>
      </c>
      <c r="V575" s="32" t="str">
        <f t="shared" si="4"/>
        <v/>
      </c>
      <c r="W575" s="39" t="str">
        <f>IFERROR(__xludf.DUMMYFUNCTION(" IF(Account!$F575&lt;&gt;"""", SPLIT(Account!$F575, "" ""), """")"),"")</f>
        <v/>
      </c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</row>
    <row r="576">
      <c r="A576" s="12"/>
      <c r="B576" s="12"/>
      <c r="C576" s="12"/>
      <c r="D576" s="12"/>
      <c r="E576" s="12"/>
      <c r="F576" s="13"/>
      <c r="G576" s="291"/>
      <c r="H576" s="291"/>
      <c r="I576" s="291"/>
      <c r="J576" s="12"/>
      <c r="K576" s="12"/>
      <c r="L576" s="335"/>
      <c r="M576" s="30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2" t="str">
        <f>IFERROR(__xludf.DUMMYFUNCTION("IF(Account!$F576&lt;&gt;"""", VALUE(REGEXREPLACE($I576, ""\,"", ""."")), """")"),"")</f>
        <v/>
      </c>
      <c r="O576" s="33" t="str">
        <f>IF(Account!$F576&lt;&gt;"", DATEVALUE(MID($A576,4,3) &amp; LEFT($A576,3) &amp; RIGHT($A576,4)) + TIMEVALUE($B576), "")</f>
        <v/>
      </c>
      <c r="P576" s="34" t="str">
        <f>IF(Account!$F576&lt;&gt;"", DATEVALUE(MID($C576,4,3) &amp; LEFT($C576,3) &amp; RIGHT($C576,4)), "")</f>
        <v/>
      </c>
      <c r="Q576" s="35" t="str">
        <f t="array" ref="Q576">IF($R576&lt;&gt;"",IFERROR(INDEX(ISIN!$B:$B,MATCH($R576,ISIN!$C:$C,0))),)</f>
        <v/>
      </c>
      <c r="R576" s="36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5" t="str">
        <f t="shared" si="1"/>
        <v/>
      </c>
      <c r="T576" s="37" t="str">
        <f t="shared" si="2"/>
        <v/>
      </c>
      <c r="U576" s="38" t="str">
        <f t="shared" si="3"/>
        <v/>
      </c>
      <c r="V576" s="32" t="str">
        <f t="shared" si="4"/>
        <v/>
      </c>
      <c r="W576" s="39" t="str">
        <f>IFERROR(__xludf.DUMMYFUNCTION(" IF(Account!$F576&lt;&gt;"""", SPLIT(Account!$F576, "" ""), """")"),"")</f>
        <v/>
      </c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</row>
    <row r="577">
      <c r="A577" s="12"/>
      <c r="B577" s="12"/>
      <c r="C577" s="12"/>
      <c r="D577" s="291"/>
      <c r="E577" s="291"/>
      <c r="F577" s="13"/>
      <c r="G577" s="291"/>
      <c r="H577" s="12"/>
      <c r="I577" s="12"/>
      <c r="J577" s="12"/>
      <c r="K577" s="12"/>
      <c r="L577" s="335"/>
      <c r="M577" s="30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2" t="str">
        <f>IFERROR(__xludf.DUMMYFUNCTION("IF(Account!$F577&lt;&gt;"""", VALUE(REGEXREPLACE($I577, ""\,"", ""."")), """")"),"")</f>
        <v/>
      </c>
      <c r="O577" s="33" t="str">
        <f>IF(Account!$F577&lt;&gt;"", DATEVALUE(MID($A577,4,3) &amp; LEFT($A577,3) &amp; RIGHT($A577,4)) + TIMEVALUE($B577), "")</f>
        <v/>
      </c>
      <c r="P577" s="34" t="str">
        <f>IF(Account!$F577&lt;&gt;"", DATEVALUE(MID($C577,4,3) &amp; LEFT($C577,3) &amp; RIGHT($C577,4)), "")</f>
        <v/>
      </c>
      <c r="Q577" s="35" t="str">
        <f t="array" ref="Q577">IF($R577&lt;&gt;"",IFERROR(INDEX(ISIN!$B:$B,MATCH($R577,ISIN!$C:$C,0))),)</f>
        <v/>
      </c>
      <c r="R577" s="36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5" t="str">
        <f t="shared" si="1"/>
        <v/>
      </c>
      <c r="T577" s="37" t="str">
        <f t="shared" si="2"/>
        <v/>
      </c>
      <c r="U577" s="38" t="str">
        <f t="shared" si="3"/>
        <v/>
      </c>
      <c r="V577" s="32" t="str">
        <f t="shared" si="4"/>
        <v/>
      </c>
      <c r="W577" s="39" t="str">
        <f>IFERROR(__xludf.DUMMYFUNCTION(" IF(Account!$F577&lt;&gt;"""", SPLIT(Account!$F577, "" ""), """")"),"")</f>
        <v/>
      </c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</row>
    <row r="578">
      <c r="A578" s="12"/>
      <c r="B578" s="12"/>
      <c r="C578" s="12"/>
      <c r="D578" s="291"/>
      <c r="E578" s="291"/>
      <c r="F578" s="13"/>
      <c r="G578" s="12"/>
      <c r="H578" s="12"/>
      <c r="I578" s="12"/>
      <c r="J578" s="12"/>
      <c r="K578" s="12"/>
      <c r="L578" s="335"/>
      <c r="M578" s="30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2" t="str">
        <f>IFERROR(__xludf.DUMMYFUNCTION("IF(Account!$F578&lt;&gt;"""", VALUE(REGEXREPLACE($I578, ""\,"", ""."")), """")"),"")</f>
        <v/>
      </c>
      <c r="O578" s="33" t="str">
        <f>IF(Account!$F578&lt;&gt;"", DATEVALUE(MID($A578,4,3) &amp; LEFT($A578,3) &amp; RIGHT($A578,4)) + TIMEVALUE($B578), "")</f>
        <v/>
      </c>
      <c r="P578" s="34" t="str">
        <f>IF(Account!$F578&lt;&gt;"", DATEVALUE(MID($C578,4,3) &amp; LEFT($C578,3) &amp; RIGHT($C578,4)), "")</f>
        <v/>
      </c>
      <c r="Q578" s="35" t="str">
        <f t="array" ref="Q578">IF($R578&lt;&gt;"",IFERROR(INDEX(ISIN!$B:$B,MATCH($R578,ISIN!$C:$C,0))),)</f>
        <v/>
      </c>
      <c r="R578" s="36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5" t="str">
        <f t="shared" si="1"/>
        <v/>
      </c>
      <c r="T578" s="37" t="str">
        <f t="shared" si="2"/>
        <v/>
      </c>
      <c r="U578" s="38" t="str">
        <f t="shared" si="3"/>
        <v/>
      </c>
      <c r="V578" s="32" t="str">
        <f t="shared" si="4"/>
        <v/>
      </c>
      <c r="W578" s="39" t="str">
        <f>IFERROR(__xludf.DUMMYFUNCTION(" IF(Account!$F578&lt;&gt;"""", SPLIT(Account!$F578, "" ""), """")"),"")</f>
        <v/>
      </c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</row>
    <row r="579">
      <c r="A579" s="12"/>
      <c r="B579" s="12"/>
      <c r="C579" s="12"/>
      <c r="D579" s="12"/>
      <c r="E579" s="12"/>
      <c r="F579" s="13"/>
      <c r="G579" s="291"/>
      <c r="H579" s="291"/>
      <c r="I579" s="291"/>
      <c r="J579" s="12"/>
      <c r="K579" s="12"/>
      <c r="L579" s="335"/>
      <c r="M579" s="30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2" t="str">
        <f>IFERROR(__xludf.DUMMYFUNCTION("IF(Account!$F579&lt;&gt;"""", VALUE(REGEXREPLACE($I579, ""\,"", ""."")), """")"),"")</f>
        <v/>
      </c>
      <c r="O579" s="33" t="str">
        <f>IF(Account!$F579&lt;&gt;"", DATEVALUE(MID($A579,4,3) &amp; LEFT($A579,3) &amp; RIGHT($A579,4)) + TIMEVALUE($B579), "")</f>
        <v/>
      </c>
      <c r="P579" s="34" t="str">
        <f>IF(Account!$F579&lt;&gt;"", DATEVALUE(MID($C579,4,3) &amp; LEFT($C579,3) &amp; RIGHT($C579,4)), "")</f>
        <v/>
      </c>
      <c r="Q579" s="35" t="str">
        <f t="array" ref="Q579">IF($R579&lt;&gt;"",IFERROR(INDEX(ISIN!$B:$B,MATCH($R579,ISIN!$C:$C,0))),)</f>
        <v/>
      </c>
      <c r="R579" s="36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5" t="str">
        <f t="shared" si="1"/>
        <v/>
      </c>
      <c r="T579" s="37" t="str">
        <f t="shared" si="2"/>
        <v/>
      </c>
      <c r="U579" s="38" t="str">
        <f t="shared" si="3"/>
        <v/>
      </c>
      <c r="V579" s="32" t="str">
        <f t="shared" si="4"/>
        <v/>
      </c>
      <c r="W579" s="39" t="str">
        <f>IFERROR(__xludf.DUMMYFUNCTION(" IF(Account!$F579&lt;&gt;"""", SPLIT(Account!$F579, "" ""), """")"),"")</f>
        <v/>
      </c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</row>
    <row r="580">
      <c r="A580" s="12"/>
      <c r="B580" s="12"/>
      <c r="C580" s="12"/>
      <c r="D580" s="12"/>
      <c r="E580" s="12"/>
      <c r="F580" s="13"/>
      <c r="G580" s="291"/>
      <c r="H580" s="12"/>
      <c r="I580" s="12"/>
      <c r="J580" s="12"/>
      <c r="K580" s="12"/>
      <c r="L580" s="335"/>
      <c r="M580" s="30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2" t="str">
        <f>IFERROR(__xludf.DUMMYFUNCTION("IF(Account!$F580&lt;&gt;"""", VALUE(REGEXREPLACE($I580, ""\,"", ""."")), """")"),"")</f>
        <v/>
      </c>
      <c r="O580" s="33" t="str">
        <f>IF(Account!$F580&lt;&gt;"", DATEVALUE(MID($A580,4,3) &amp; LEFT($A580,3) &amp; RIGHT($A580,4)) + TIMEVALUE($B580), "")</f>
        <v/>
      </c>
      <c r="P580" s="34" t="str">
        <f>IF(Account!$F580&lt;&gt;"", DATEVALUE(MID($C580,4,3) &amp; LEFT($C580,3) &amp; RIGHT($C580,4)), "")</f>
        <v/>
      </c>
      <c r="Q580" s="35" t="str">
        <f t="array" ref="Q580">IF($R580&lt;&gt;"",IFERROR(INDEX(ISIN!$B:$B,MATCH($R580,ISIN!$C:$C,0))),)</f>
        <v/>
      </c>
      <c r="R580" s="36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5" t="str">
        <f t="shared" si="1"/>
        <v/>
      </c>
      <c r="T580" s="37" t="str">
        <f t="shared" si="2"/>
        <v/>
      </c>
      <c r="U580" s="38" t="str">
        <f t="shared" si="3"/>
        <v/>
      </c>
      <c r="V580" s="32" t="str">
        <f t="shared" si="4"/>
        <v/>
      </c>
      <c r="W580" s="39" t="str">
        <f>IFERROR(__xludf.DUMMYFUNCTION(" IF(Account!$F580&lt;&gt;"""", SPLIT(Account!$F580, "" ""), """")"),"")</f>
        <v/>
      </c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</row>
    <row r="581">
      <c r="A581" s="12"/>
      <c r="B581" s="12"/>
      <c r="C581" s="12"/>
      <c r="D581" s="12"/>
      <c r="E581" s="12"/>
      <c r="F581" s="13"/>
      <c r="G581" s="291"/>
      <c r="H581" s="12"/>
      <c r="I581" s="12"/>
      <c r="J581" s="12"/>
      <c r="K581" s="12"/>
      <c r="L581" s="13"/>
      <c r="M581" s="30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2" t="str">
        <f>IFERROR(__xludf.DUMMYFUNCTION("IF(Account!$F581&lt;&gt;"""", VALUE(REGEXREPLACE($I581, ""\,"", ""."")), """")"),"")</f>
        <v/>
      </c>
      <c r="O581" s="33" t="str">
        <f>IF(Account!$F581&lt;&gt;"", DATEVALUE(MID($A581,4,3) &amp; LEFT($A581,3) &amp; RIGHT($A581,4)) + TIMEVALUE($B581), "")</f>
        <v/>
      </c>
      <c r="P581" s="34" t="str">
        <f>IF(Account!$F581&lt;&gt;"", DATEVALUE(MID($C581,4,3) &amp; LEFT($C581,3) &amp; RIGHT($C581,4)), "")</f>
        <v/>
      </c>
      <c r="Q581" s="35" t="str">
        <f t="array" ref="Q581">IF($R581&lt;&gt;"",IFERROR(INDEX(ISIN!$B:$B,MATCH($R581,ISIN!$C:$C,0))),)</f>
        <v/>
      </c>
      <c r="R581" s="36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5" t="str">
        <f t="shared" si="1"/>
        <v/>
      </c>
      <c r="T581" s="37" t="str">
        <f t="shared" si="2"/>
        <v/>
      </c>
      <c r="U581" s="38" t="str">
        <f t="shared" si="3"/>
        <v/>
      </c>
      <c r="V581" s="32" t="str">
        <f t="shared" si="4"/>
        <v/>
      </c>
      <c r="W581" s="39" t="str">
        <f>IFERROR(__xludf.DUMMYFUNCTION(" IF(Account!$F581&lt;&gt;"""", SPLIT(Account!$F581, "" ""), """")"),"")</f>
        <v/>
      </c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</row>
    <row r="582">
      <c r="A582" s="12"/>
      <c r="B582" s="12"/>
      <c r="C582" s="12"/>
      <c r="D582" s="12"/>
      <c r="E582" s="12"/>
      <c r="F582" s="13"/>
      <c r="G582" s="12"/>
      <c r="H582" s="12"/>
      <c r="I582" s="12"/>
      <c r="J582" s="12"/>
      <c r="K582" s="12"/>
      <c r="L582" s="13"/>
      <c r="M582" s="30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2" t="str">
        <f>IFERROR(__xludf.DUMMYFUNCTION("IF(Account!$F582&lt;&gt;"""", VALUE(REGEXREPLACE($I582, ""\,"", ""."")), """")"),"")</f>
        <v/>
      </c>
      <c r="O582" s="33" t="str">
        <f>IF(Account!$F582&lt;&gt;"", DATEVALUE(MID($A582,4,3) &amp; LEFT($A582,3) &amp; RIGHT($A582,4)) + TIMEVALUE($B582), "")</f>
        <v/>
      </c>
      <c r="P582" s="34" t="str">
        <f>IF(Account!$F582&lt;&gt;"", DATEVALUE(MID($C582,4,3) &amp; LEFT($C582,3) &amp; RIGHT($C582,4)), "")</f>
        <v/>
      </c>
      <c r="Q582" s="35" t="str">
        <f t="array" ref="Q582">IF($R582&lt;&gt;"",IFERROR(INDEX(ISIN!$B:$B,MATCH($R582,ISIN!$C:$C,0))),)</f>
        <v/>
      </c>
      <c r="R582" s="36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5" t="str">
        <f t="shared" si="1"/>
        <v/>
      </c>
      <c r="T582" s="37" t="str">
        <f t="shared" si="2"/>
        <v/>
      </c>
      <c r="U582" s="38" t="str">
        <f t="shared" si="3"/>
        <v/>
      </c>
      <c r="V582" s="32" t="str">
        <f t="shared" si="4"/>
        <v/>
      </c>
      <c r="W582" s="39" t="str">
        <f>IFERROR(__xludf.DUMMYFUNCTION(" IF(Account!$F582&lt;&gt;"""", SPLIT(Account!$F582, "" ""), """")"),"")</f>
        <v/>
      </c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</row>
    <row r="583">
      <c r="A583" s="12"/>
      <c r="B583" s="12"/>
      <c r="C583" s="12"/>
      <c r="D583" s="12"/>
      <c r="E583" s="12"/>
      <c r="F583" s="13"/>
      <c r="G583" s="291"/>
      <c r="H583" s="12"/>
      <c r="I583" s="12"/>
      <c r="J583" s="12"/>
      <c r="K583" s="12"/>
      <c r="L583" s="13"/>
      <c r="M583" s="30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2" t="str">
        <f>IFERROR(__xludf.DUMMYFUNCTION("IF(Account!$F583&lt;&gt;"""", VALUE(REGEXREPLACE($I583, ""\,"", ""."")), """")"),"")</f>
        <v/>
      </c>
      <c r="O583" s="33" t="str">
        <f>IF(Account!$F583&lt;&gt;"", DATEVALUE(MID($A583,4,3) &amp; LEFT($A583,3) &amp; RIGHT($A583,4)) + TIMEVALUE($B583), "")</f>
        <v/>
      </c>
      <c r="P583" s="34" t="str">
        <f>IF(Account!$F583&lt;&gt;"", DATEVALUE(MID($C583,4,3) &amp; LEFT($C583,3) &amp; RIGHT($C583,4)), "")</f>
        <v/>
      </c>
      <c r="Q583" s="35" t="str">
        <f t="array" ref="Q583">IF($R583&lt;&gt;"",IFERROR(INDEX(ISIN!$B:$B,MATCH($R583,ISIN!$C:$C,0))),)</f>
        <v/>
      </c>
      <c r="R583" s="36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5" t="str">
        <f t="shared" si="1"/>
        <v/>
      </c>
      <c r="T583" s="37" t="str">
        <f t="shared" si="2"/>
        <v/>
      </c>
      <c r="U583" s="38" t="str">
        <f t="shared" si="3"/>
        <v/>
      </c>
      <c r="V583" s="32" t="str">
        <f t="shared" si="4"/>
        <v/>
      </c>
      <c r="W583" s="39" t="str">
        <f>IFERROR(__xludf.DUMMYFUNCTION(" IF(Account!$F583&lt;&gt;"""", SPLIT(Account!$F583, "" ""), """")"),"")</f>
        <v/>
      </c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</row>
    <row r="584">
      <c r="A584" s="12"/>
      <c r="B584" s="12"/>
      <c r="C584" s="12"/>
      <c r="D584" s="12"/>
      <c r="E584" s="12"/>
      <c r="F584" s="13"/>
      <c r="G584" s="291"/>
      <c r="H584" s="12"/>
      <c r="I584" s="12"/>
      <c r="J584" s="12"/>
      <c r="K584" s="12"/>
      <c r="L584" s="13"/>
      <c r="M584" s="30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2" t="str">
        <f>IFERROR(__xludf.DUMMYFUNCTION("IF(Account!$F584&lt;&gt;"""", VALUE(REGEXREPLACE($I584, ""\,"", ""."")), """")"),"")</f>
        <v/>
      </c>
      <c r="O584" s="33" t="str">
        <f>IF(Account!$F584&lt;&gt;"", DATEVALUE(MID($A584,4,3) &amp; LEFT($A584,3) &amp; RIGHT($A584,4)) + TIMEVALUE($B584), "")</f>
        <v/>
      </c>
      <c r="P584" s="34" t="str">
        <f>IF(Account!$F584&lt;&gt;"", DATEVALUE(MID($C584,4,3) &amp; LEFT($C584,3) &amp; RIGHT($C584,4)), "")</f>
        <v/>
      </c>
      <c r="Q584" s="35" t="str">
        <f t="array" ref="Q584">IF($R584&lt;&gt;"",IFERROR(INDEX(ISIN!$B:$B,MATCH($R584,ISIN!$C:$C,0))),)</f>
        <v/>
      </c>
      <c r="R584" s="36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5" t="str">
        <f t="shared" si="1"/>
        <v/>
      </c>
      <c r="T584" s="37" t="str">
        <f t="shared" si="2"/>
        <v/>
      </c>
      <c r="U584" s="38" t="str">
        <f t="shared" si="3"/>
        <v/>
      </c>
      <c r="V584" s="32" t="str">
        <f t="shared" si="4"/>
        <v/>
      </c>
      <c r="W584" s="39" t="str">
        <f>IFERROR(__xludf.DUMMYFUNCTION(" IF(Account!$F584&lt;&gt;"""", SPLIT(Account!$F584, "" ""), """")"),"")</f>
        <v/>
      </c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</row>
    <row r="585">
      <c r="A585" s="12"/>
      <c r="B585" s="12"/>
      <c r="C585" s="12"/>
      <c r="D585" s="12"/>
      <c r="E585" s="12"/>
      <c r="F585" s="13"/>
      <c r="G585" s="291"/>
      <c r="H585" s="12"/>
      <c r="I585" s="12"/>
      <c r="J585" s="12"/>
      <c r="K585" s="12"/>
      <c r="L585" s="13"/>
      <c r="M585" s="30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2" t="str">
        <f>IFERROR(__xludf.DUMMYFUNCTION("IF(Account!$F585&lt;&gt;"""", VALUE(REGEXREPLACE($I585, ""\,"", ""."")), """")"),"")</f>
        <v/>
      </c>
      <c r="O585" s="33" t="str">
        <f>IF(Account!$F585&lt;&gt;"", DATEVALUE(MID($A585,4,3) &amp; LEFT($A585,3) &amp; RIGHT($A585,4)) + TIMEVALUE($B585), "")</f>
        <v/>
      </c>
      <c r="P585" s="34" t="str">
        <f>IF(Account!$F585&lt;&gt;"", DATEVALUE(MID($C585,4,3) &amp; LEFT($C585,3) &amp; RIGHT($C585,4)), "")</f>
        <v/>
      </c>
      <c r="Q585" s="35" t="str">
        <f t="array" ref="Q585">IF($R585&lt;&gt;"",IFERROR(INDEX(ISIN!$B:$B,MATCH($R585,ISIN!$C:$C,0))),)</f>
        <v/>
      </c>
      <c r="R585" s="36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5" t="str">
        <f t="shared" si="1"/>
        <v/>
      </c>
      <c r="T585" s="37" t="str">
        <f t="shared" si="2"/>
        <v/>
      </c>
      <c r="U585" s="38" t="str">
        <f t="shared" si="3"/>
        <v/>
      </c>
      <c r="V585" s="32" t="str">
        <f t="shared" si="4"/>
        <v/>
      </c>
      <c r="W585" s="39" t="str">
        <f>IFERROR(__xludf.DUMMYFUNCTION(" IF(Account!$F585&lt;&gt;"""", SPLIT(Account!$F585, "" ""), """")"),"")</f>
        <v/>
      </c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</row>
    <row r="586">
      <c r="A586" s="12"/>
      <c r="B586" s="12"/>
      <c r="C586" s="12"/>
      <c r="D586" s="12"/>
      <c r="E586" s="12"/>
      <c r="F586" s="13"/>
      <c r="G586" s="291"/>
      <c r="H586" s="12"/>
      <c r="I586" s="12"/>
      <c r="J586" s="12"/>
      <c r="K586" s="12"/>
      <c r="L586" s="13"/>
      <c r="M586" s="30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2" t="str">
        <f>IFERROR(__xludf.DUMMYFUNCTION("IF(Account!$F586&lt;&gt;"""", VALUE(REGEXREPLACE($I586, ""\,"", ""."")), """")"),"")</f>
        <v/>
      </c>
      <c r="O586" s="33" t="str">
        <f>IF(Account!$F586&lt;&gt;"", DATEVALUE(MID($A586,4,3) &amp; LEFT($A586,3) &amp; RIGHT($A586,4)) + TIMEVALUE($B586), "")</f>
        <v/>
      </c>
      <c r="P586" s="34" t="str">
        <f>IF(Account!$F586&lt;&gt;"", DATEVALUE(MID($C586,4,3) &amp; LEFT($C586,3) &amp; RIGHT($C586,4)), "")</f>
        <v/>
      </c>
      <c r="Q586" s="35" t="str">
        <f t="array" ref="Q586">IF($R586&lt;&gt;"",IFERROR(INDEX(ISIN!$B:$B,MATCH($R586,ISIN!$C:$C,0))),)</f>
        <v/>
      </c>
      <c r="R586" s="36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5" t="str">
        <f t="shared" si="1"/>
        <v/>
      </c>
      <c r="T586" s="37" t="str">
        <f t="shared" si="2"/>
        <v/>
      </c>
      <c r="U586" s="38" t="str">
        <f t="shared" si="3"/>
        <v/>
      </c>
      <c r="V586" s="32" t="str">
        <f t="shared" si="4"/>
        <v/>
      </c>
      <c r="W586" s="39" t="str">
        <f>IFERROR(__xludf.DUMMYFUNCTION(" IF(Account!$F586&lt;&gt;"""", SPLIT(Account!$F586, "" ""), """")"),"")</f>
        <v/>
      </c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</row>
    <row r="587">
      <c r="A587" s="12"/>
      <c r="B587" s="12"/>
      <c r="C587" s="12"/>
      <c r="D587" s="12"/>
      <c r="E587" s="12"/>
      <c r="F587" s="13"/>
      <c r="G587" s="291"/>
      <c r="H587" s="12"/>
      <c r="I587" s="12"/>
      <c r="J587" s="12"/>
      <c r="K587" s="12"/>
      <c r="L587" s="13"/>
      <c r="M587" s="30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2" t="str">
        <f>IFERROR(__xludf.DUMMYFUNCTION("IF(Account!$F587&lt;&gt;"""", VALUE(REGEXREPLACE($I587, ""\,"", ""."")), """")"),"")</f>
        <v/>
      </c>
      <c r="O587" s="33" t="str">
        <f>IF(Account!$F587&lt;&gt;"", DATEVALUE(MID($A587,4,3) &amp; LEFT($A587,3) &amp; RIGHT($A587,4)) + TIMEVALUE($B587), "")</f>
        <v/>
      </c>
      <c r="P587" s="34" t="str">
        <f>IF(Account!$F587&lt;&gt;"", DATEVALUE(MID($C587,4,3) &amp; LEFT($C587,3) &amp; RIGHT($C587,4)), "")</f>
        <v/>
      </c>
      <c r="Q587" s="35" t="str">
        <f t="array" ref="Q587">IF($R587&lt;&gt;"",IFERROR(INDEX(ISIN!$B:$B,MATCH($R587,ISIN!$C:$C,0))),)</f>
        <v/>
      </c>
      <c r="R587" s="36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5" t="str">
        <f t="shared" si="1"/>
        <v/>
      </c>
      <c r="T587" s="37" t="str">
        <f t="shared" si="2"/>
        <v/>
      </c>
      <c r="U587" s="38" t="str">
        <f t="shared" si="3"/>
        <v/>
      </c>
      <c r="V587" s="32" t="str">
        <f t="shared" si="4"/>
        <v/>
      </c>
      <c r="W587" s="39" t="str">
        <f>IFERROR(__xludf.DUMMYFUNCTION(" IF(Account!$F587&lt;&gt;"""", SPLIT(Account!$F587, "" ""), """")"),"")</f>
        <v/>
      </c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</row>
    <row r="588">
      <c r="A588" s="12"/>
      <c r="B588" s="12"/>
      <c r="C588" s="12"/>
      <c r="D588" s="12"/>
      <c r="E588" s="12"/>
      <c r="F588" s="13"/>
      <c r="G588" s="291"/>
      <c r="H588" s="12"/>
      <c r="I588" s="12"/>
      <c r="J588" s="12"/>
      <c r="K588" s="12"/>
      <c r="L588" s="13"/>
      <c r="M588" s="30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2" t="str">
        <f>IFERROR(__xludf.DUMMYFUNCTION("IF(Account!$F588&lt;&gt;"""", VALUE(REGEXREPLACE($I588, ""\,"", ""."")), """")"),"")</f>
        <v/>
      </c>
      <c r="O588" s="33" t="str">
        <f>IF(Account!$F588&lt;&gt;"", DATEVALUE(MID($A588,4,3) &amp; LEFT($A588,3) &amp; RIGHT($A588,4)) + TIMEVALUE($B588), "")</f>
        <v/>
      </c>
      <c r="P588" s="34" t="str">
        <f>IF(Account!$F588&lt;&gt;"", DATEVALUE(MID($C588,4,3) &amp; LEFT($C588,3) &amp; RIGHT($C588,4)), "")</f>
        <v/>
      </c>
      <c r="Q588" s="35" t="str">
        <f t="array" ref="Q588">IF($R588&lt;&gt;"",IFERROR(INDEX(ISIN!$B:$B,MATCH($R588,ISIN!$C:$C,0))),)</f>
        <v/>
      </c>
      <c r="R588" s="36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5" t="str">
        <f t="shared" si="1"/>
        <v/>
      </c>
      <c r="T588" s="37" t="str">
        <f t="shared" si="2"/>
        <v/>
      </c>
      <c r="U588" s="38" t="str">
        <f t="shared" si="3"/>
        <v/>
      </c>
      <c r="V588" s="32" t="str">
        <f t="shared" si="4"/>
        <v/>
      </c>
      <c r="W588" s="39" t="str">
        <f>IFERROR(__xludf.DUMMYFUNCTION(" IF(Account!$F588&lt;&gt;"""", SPLIT(Account!$F588, "" ""), """")"),"")</f>
        <v/>
      </c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</row>
    <row r="589">
      <c r="A589" s="12"/>
      <c r="B589" s="12"/>
      <c r="C589" s="12"/>
      <c r="D589" s="12"/>
      <c r="E589" s="12"/>
      <c r="F589" s="13"/>
      <c r="G589" s="291"/>
      <c r="H589" s="12"/>
      <c r="I589" s="12"/>
      <c r="J589" s="12"/>
      <c r="K589" s="12"/>
      <c r="L589" s="13"/>
      <c r="M589" s="30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2" t="str">
        <f>IFERROR(__xludf.DUMMYFUNCTION("IF(Account!$F589&lt;&gt;"""", VALUE(REGEXREPLACE($I589, ""\,"", ""."")), """")"),"")</f>
        <v/>
      </c>
      <c r="O589" s="33" t="str">
        <f>IF(Account!$F589&lt;&gt;"", DATEVALUE(MID($A589,4,3) &amp; LEFT($A589,3) &amp; RIGHT($A589,4)) + TIMEVALUE($B589), "")</f>
        <v/>
      </c>
      <c r="P589" s="34" t="str">
        <f>IF(Account!$F589&lt;&gt;"", DATEVALUE(MID($C589,4,3) &amp; LEFT($C589,3) &amp; RIGHT($C589,4)), "")</f>
        <v/>
      </c>
      <c r="Q589" s="35" t="str">
        <f t="array" ref="Q589">IF($R589&lt;&gt;"",IFERROR(INDEX(ISIN!$B:$B,MATCH($R589,ISIN!$C:$C,0))),)</f>
        <v/>
      </c>
      <c r="R589" s="36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5" t="str">
        <f t="shared" si="1"/>
        <v/>
      </c>
      <c r="T589" s="37" t="str">
        <f t="shared" si="2"/>
        <v/>
      </c>
      <c r="U589" s="38" t="str">
        <f t="shared" si="3"/>
        <v/>
      </c>
      <c r="V589" s="32" t="str">
        <f t="shared" si="4"/>
        <v/>
      </c>
      <c r="W589" s="39" t="str">
        <f>IFERROR(__xludf.DUMMYFUNCTION(" IF(Account!$F589&lt;&gt;"""", SPLIT(Account!$F589, "" ""), """")"),"")</f>
        <v/>
      </c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</row>
    <row r="590">
      <c r="A590" s="12"/>
      <c r="B590" s="12"/>
      <c r="C590" s="12"/>
      <c r="D590" s="12"/>
      <c r="E590" s="12"/>
      <c r="F590" s="13"/>
      <c r="G590" s="291"/>
      <c r="H590" s="12"/>
      <c r="I590" s="12"/>
      <c r="J590" s="12"/>
      <c r="K590" s="12"/>
      <c r="L590" s="13"/>
      <c r="M590" s="30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2" t="str">
        <f>IFERROR(__xludf.DUMMYFUNCTION("IF(Account!$F590&lt;&gt;"""", VALUE(REGEXREPLACE($I590, ""\,"", ""."")), """")"),"")</f>
        <v/>
      </c>
      <c r="O590" s="33" t="str">
        <f>IF(Account!$F590&lt;&gt;"", DATEVALUE(MID($A590,4,3) &amp; LEFT($A590,3) &amp; RIGHT($A590,4)) + TIMEVALUE($B590), "")</f>
        <v/>
      </c>
      <c r="P590" s="34" t="str">
        <f>IF(Account!$F590&lt;&gt;"", DATEVALUE(MID($C590,4,3) &amp; LEFT($C590,3) &amp; RIGHT($C590,4)), "")</f>
        <v/>
      </c>
      <c r="Q590" s="35" t="str">
        <f t="array" ref="Q590">IF($R590&lt;&gt;"",IFERROR(INDEX(ISIN!$B:$B,MATCH($R590,ISIN!$C:$C,0))),)</f>
        <v/>
      </c>
      <c r="R590" s="36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5" t="str">
        <f t="shared" si="1"/>
        <v/>
      </c>
      <c r="T590" s="37" t="str">
        <f t="shared" si="2"/>
        <v/>
      </c>
      <c r="U590" s="38" t="str">
        <f t="shared" si="3"/>
        <v/>
      </c>
      <c r="V590" s="32" t="str">
        <f t="shared" si="4"/>
        <v/>
      </c>
      <c r="W590" s="39" t="str">
        <f>IFERROR(__xludf.DUMMYFUNCTION(" IF(Account!$F590&lt;&gt;"""", SPLIT(Account!$F590, "" ""), """")"),"")</f>
        <v/>
      </c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</row>
    <row r="591">
      <c r="A591" s="12"/>
      <c r="B591" s="12"/>
      <c r="C591" s="12"/>
      <c r="D591" s="12"/>
      <c r="E591" s="12"/>
      <c r="F591" s="13"/>
      <c r="G591" s="291"/>
      <c r="H591" s="12"/>
      <c r="I591" s="12"/>
      <c r="J591" s="12"/>
      <c r="K591" s="12"/>
      <c r="L591" s="13"/>
      <c r="M591" s="30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2" t="str">
        <f>IFERROR(__xludf.DUMMYFUNCTION("IF(Account!$F591&lt;&gt;"""", VALUE(REGEXREPLACE($I591, ""\,"", ""."")), """")"),"")</f>
        <v/>
      </c>
      <c r="O591" s="33" t="str">
        <f>IF(Account!$F591&lt;&gt;"", DATEVALUE(MID($A591,4,3) &amp; LEFT($A591,3) &amp; RIGHT($A591,4)) + TIMEVALUE($B591), "")</f>
        <v/>
      </c>
      <c r="P591" s="34" t="str">
        <f>IF(Account!$F591&lt;&gt;"", DATEVALUE(MID($C591,4,3) &amp; LEFT($C591,3) &amp; RIGHT($C591,4)), "")</f>
        <v/>
      </c>
      <c r="Q591" s="35" t="str">
        <f t="array" ref="Q591">IF($R591&lt;&gt;"",IFERROR(INDEX(ISIN!$B:$B,MATCH($R591,ISIN!$C:$C,0))),)</f>
        <v/>
      </c>
      <c r="R591" s="36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5" t="str">
        <f t="shared" si="1"/>
        <v/>
      </c>
      <c r="T591" s="37" t="str">
        <f t="shared" si="2"/>
        <v/>
      </c>
      <c r="U591" s="38" t="str">
        <f t="shared" si="3"/>
        <v/>
      </c>
      <c r="V591" s="32" t="str">
        <f t="shared" si="4"/>
        <v/>
      </c>
      <c r="W591" s="39" t="str">
        <f>IFERROR(__xludf.DUMMYFUNCTION(" IF(Account!$F591&lt;&gt;"""", SPLIT(Account!$F591, "" ""), """")"),"")</f>
        <v/>
      </c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</row>
    <row r="592">
      <c r="A592" s="12"/>
      <c r="B592" s="12"/>
      <c r="C592" s="12"/>
      <c r="D592" s="12"/>
      <c r="E592" s="12"/>
      <c r="F592" s="13"/>
      <c r="G592" s="291"/>
      <c r="H592" s="12"/>
      <c r="I592" s="12"/>
      <c r="J592" s="12"/>
      <c r="K592" s="12"/>
      <c r="L592" s="13"/>
      <c r="M592" s="30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2" t="str">
        <f>IFERROR(__xludf.DUMMYFUNCTION("IF(Account!$F592&lt;&gt;"""", VALUE(REGEXREPLACE($I592, ""\,"", ""."")), """")"),"")</f>
        <v/>
      </c>
      <c r="O592" s="33" t="str">
        <f>IF(Account!$F592&lt;&gt;"", DATEVALUE(MID($A592,4,3) &amp; LEFT($A592,3) &amp; RIGHT($A592,4)) + TIMEVALUE($B592), "")</f>
        <v/>
      </c>
      <c r="P592" s="34" t="str">
        <f>IF(Account!$F592&lt;&gt;"", DATEVALUE(MID($C592,4,3) &amp; LEFT($C592,3) &amp; RIGHT($C592,4)), "")</f>
        <v/>
      </c>
      <c r="Q592" s="35" t="str">
        <f t="array" ref="Q592">IF($R592&lt;&gt;"",IFERROR(INDEX(ISIN!$B:$B,MATCH($R592,ISIN!$C:$C,0))),)</f>
        <v/>
      </c>
      <c r="R592" s="36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5" t="str">
        <f t="shared" si="1"/>
        <v/>
      </c>
      <c r="T592" s="37" t="str">
        <f t="shared" si="2"/>
        <v/>
      </c>
      <c r="U592" s="38" t="str">
        <f t="shared" si="3"/>
        <v/>
      </c>
      <c r="V592" s="32" t="str">
        <f t="shared" si="4"/>
        <v/>
      </c>
      <c r="W592" s="39" t="str">
        <f>IFERROR(__xludf.DUMMYFUNCTION(" IF(Account!$F592&lt;&gt;"""", SPLIT(Account!$F592, "" ""), """")"),"")</f>
        <v/>
      </c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</row>
    <row r="593">
      <c r="A593" s="12"/>
      <c r="B593" s="12"/>
      <c r="C593" s="12"/>
      <c r="D593" s="12"/>
      <c r="E593" s="12"/>
      <c r="F593" s="13"/>
      <c r="G593" s="291"/>
      <c r="H593" s="12"/>
      <c r="I593" s="12"/>
      <c r="J593" s="12"/>
      <c r="K593" s="12"/>
      <c r="L593" s="13"/>
      <c r="M593" s="30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2" t="str">
        <f>IFERROR(__xludf.DUMMYFUNCTION("IF(Account!$F593&lt;&gt;"""", VALUE(REGEXREPLACE($I593, ""\,"", ""."")), """")"),"")</f>
        <v/>
      </c>
      <c r="O593" s="33" t="str">
        <f>IF(Account!$F593&lt;&gt;"", DATEVALUE(MID($A593,4,3) &amp; LEFT($A593,3) &amp; RIGHT($A593,4)) + TIMEVALUE($B593), "")</f>
        <v/>
      </c>
      <c r="P593" s="34" t="str">
        <f>IF(Account!$F593&lt;&gt;"", DATEVALUE(MID($C593,4,3) &amp; LEFT($C593,3) &amp; RIGHT($C593,4)), "")</f>
        <v/>
      </c>
      <c r="Q593" s="35" t="str">
        <f t="array" ref="Q593">IF($R593&lt;&gt;"",IFERROR(INDEX(ISIN!$B:$B,MATCH($R593,ISIN!$C:$C,0))),)</f>
        <v/>
      </c>
      <c r="R593" s="36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5" t="str">
        <f t="shared" si="1"/>
        <v/>
      </c>
      <c r="T593" s="37" t="str">
        <f t="shared" si="2"/>
        <v/>
      </c>
      <c r="U593" s="38" t="str">
        <f t="shared" si="3"/>
        <v/>
      </c>
      <c r="V593" s="32" t="str">
        <f t="shared" si="4"/>
        <v/>
      </c>
      <c r="W593" s="39" t="str">
        <f>IFERROR(__xludf.DUMMYFUNCTION(" IF(Account!$F593&lt;&gt;"""", SPLIT(Account!$F593, "" ""), """")"),"")</f>
        <v/>
      </c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</row>
    <row r="594">
      <c r="A594" s="12"/>
      <c r="B594" s="12"/>
      <c r="C594" s="12"/>
      <c r="D594" s="291"/>
      <c r="E594" s="291"/>
      <c r="F594" s="13"/>
      <c r="G594" s="291"/>
      <c r="H594" s="12"/>
      <c r="I594" s="12"/>
      <c r="J594" s="12"/>
      <c r="K594" s="12"/>
      <c r="L594" s="335"/>
      <c r="M594" s="30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2" t="str">
        <f>IFERROR(__xludf.DUMMYFUNCTION("IF(Account!$F594&lt;&gt;"""", VALUE(REGEXREPLACE($I594, ""\,"", ""."")), """")"),"")</f>
        <v/>
      </c>
      <c r="O594" s="33" t="str">
        <f>IF(Account!$F594&lt;&gt;"", DATEVALUE(MID($A594,4,3) &amp; LEFT($A594,3) &amp; RIGHT($A594,4)) + TIMEVALUE($B594), "")</f>
        <v/>
      </c>
      <c r="P594" s="34" t="str">
        <f>IF(Account!$F594&lt;&gt;"", DATEVALUE(MID($C594,4,3) &amp; LEFT($C594,3) &amp; RIGHT($C594,4)), "")</f>
        <v/>
      </c>
      <c r="Q594" s="35" t="str">
        <f t="array" ref="Q594">IF($R594&lt;&gt;"",IFERROR(INDEX(ISIN!$B:$B,MATCH($R594,ISIN!$C:$C,0))),)</f>
        <v/>
      </c>
      <c r="R594" s="36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5" t="str">
        <f t="shared" si="1"/>
        <v/>
      </c>
      <c r="T594" s="37" t="str">
        <f t="shared" si="2"/>
        <v/>
      </c>
      <c r="U594" s="38" t="str">
        <f t="shared" si="3"/>
        <v/>
      </c>
      <c r="V594" s="32" t="str">
        <f t="shared" si="4"/>
        <v/>
      </c>
      <c r="W594" s="39" t="str">
        <f>IFERROR(__xludf.DUMMYFUNCTION(" IF(Account!$F594&lt;&gt;"""", SPLIT(Account!$F594, "" ""), """")"),"")</f>
        <v/>
      </c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</row>
    <row r="595">
      <c r="A595" s="12"/>
      <c r="B595" s="12"/>
      <c r="C595" s="12"/>
      <c r="D595" s="291"/>
      <c r="E595" s="291"/>
      <c r="F595" s="13"/>
      <c r="G595" s="291"/>
      <c r="H595" s="12"/>
      <c r="I595" s="12"/>
      <c r="J595" s="12"/>
      <c r="K595" s="12"/>
      <c r="L595" s="335"/>
      <c r="M595" s="30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2" t="str">
        <f>IFERROR(__xludf.DUMMYFUNCTION("IF(Account!$F595&lt;&gt;"""", VALUE(REGEXREPLACE($I595, ""\,"", ""."")), """")"),"")</f>
        <v/>
      </c>
      <c r="O595" s="33" t="str">
        <f>IF(Account!$F595&lt;&gt;"", DATEVALUE(MID($A595,4,3) &amp; LEFT($A595,3) &amp; RIGHT($A595,4)) + TIMEVALUE($B595), "")</f>
        <v/>
      </c>
      <c r="P595" s="34" t="str">
        <f>IF(Account!$F595&lt;&gt;"", DATEVALUE(MID($C595,4,3) &amp; LEFT($C595,3) &amp; RIGHT($C595,4)), "")</f>
        <v/>
      </c>
      <c r="Q595" s="35" t="str">
        <f t="array" ref="Q595">IF($R595&lt;&gt;"",IFERROR(INDEX(ISIN!$B:$B,MATCH($R595,ISIN!$C:$C,0))),)</f>
        <v/>
      </c>
      <c r="R595" s="36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5" t="str">
        <f t="shared" si="1"/>
        <v/>
      </c>
      <c r="T595" s="37" t="str">
        <f t="shared" si="2"/>
        <v/>
      </c>
      <c r="U595" s="38" t="str">
        <f t="shared" si="3"/>
        <v/>
      </c>
      <c r="V595" s="32" t="str">
        <f t="shared" si="4"/>
        <v/>
      </c>
      <c r="W595" s="39" t="str">
        <f>IFERROR(__xludf.DUMMYFUNCTION(" IF(Account!$F595&lt;&gt;"""", SPLIT(Account!$F595, "" ""), """")"),"")</f>
        <v/>
      </c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</row>
    <row r="596">
      <c r="A596" s="12"/>
      <c r="B596" s="12"/>
      <c r="C596" s="12"/>
      <c r="D596" s="291"/>
      <c r="E596" s="291"/>
      <c r="F596" s="13"/>
      <c r="G596" s="291"/>
      <c r="H596" s="12"/>
      <c r="I596" s="12"/>
      <c r="J596" s="12"/>
      <c r="K596" s="12"/>
      <c r="L596" s="335"/>
      <c r="M596" s="30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2" t="str">
        <f>IFERROR(__xludf.DUMMYFUNCTION("IF(Account!$F596&lt;&gt;"""", VALUE(REGEXREPLACE($I596, ""\,"", ""."")), """")"),"")</f>
        <v/>
      </c>
      <c r="O596" s="33" t="str">
        <f>IF(Account!$F596&lt;&gt;"", DATEVALUE(MID($A596,4,3) &amp; LEFT($A596,3) &amp; RIGHT($A596,4)) + TIMEVALUE($B596), "")</f>
        <v/>
      </c>
      <c r="P596" s="34" t="str">
        <f>IF(Account!$F596&lt;&gt;"", DATEVALUE(MID($C596,4,3) &amp; LEFT($C596,3) &amp; RIGHT($C596,4)), "")</f>
        <v/>
      </c>
      <c r="Q596" s="35" t="str">
        <f t="array" ref="Q596">IF($R596&lt;&gt;"",IFERROR(INDEX(ISIN!$B:$B,MATCH($R596,ISIN!$C:$C,0))),)</f>
        <v/>
      </c>
      <c r="R596" s="36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5" t="str">
        <f t="shared" si="1"/>
        <v/>
      </c>
      <c r="T596" s="37" t="str">
        <f t="shared" si="2"/>
        <v/>
      </c>
      <c r="U596" s="38" t="str">
        <f t="shared" si="3"/>
        <v/>
      </c>
      <c r="V596" s="32" t="str">
        <f t="shared" si="4"/>
        <v/>
      </c>
      <c r="W596" s="39" t="str">
        <f>IFERROR(__xludf.DUMMYFUNCTION(" IF(Account!$F596&lt;&gt;"""", SPLIT(Account!$F596, "" ""), """")"),"")</f>
        <v/>
      </c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</row>
    <row r="597">
      <c r="A597" s="12"/>
      <c r="B597" s="12"/>
      <c r="C597" s="12"/>
      <c r="D597" s="12"/>
      <c r="E597" s="12"/>
      <c r="F597" s="13"/>
      <c r="G597" s="291"/>
      <c r="H597" s="12"/>
      <c r="I597" s="12"/>
      <c r="J597" s="12"/>
      <c r="K597" s="12"/>
      <c r="L597" s="13"/>
      <c r="M597" s="30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2" t="str">
        <f>IFERROR(__xludf.DUMMYFUNCTION("IF(Account!$F597&lt;&gt;"""", VALUE(REGEXREPLACE($I597, ""\,"", ""."")), """")"),"")</f>
        <v/>
      </c>
      <c r="O597" s="33" t="str">
        <f>IF(Account!$F597&lt;&gt;"", DATEVALUE(MID($A597,4,3) &amp; LEFT($A597,3) &amp; RIGHT($A597,4)) + TIMEVALUE($B597), "")</f>
        <v/>
      </c>
      <c r="P597" s="34" t="str">
        <f>IF(Account!$F597&lt;&gt;"", DATEVALUE(MID($C597,4,3) &amp; LEFT($C597,3) &amp; RIGHT($C597,4)), "")</f>
        <v/>
      </c>
      <c r="Q597" s="35" t="str">
        <f t="array" ref="Q597">IF($R597&lt;&gt;"",IFERROR(INDEX(ISIN!$B:$B,MATCH($R597,ISIN!$C:$C,0))),)</f>
        <v/>
      </c>
      <c r="R597" s="36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5" t="str">
        <f t="shared" si="1"/>
        <v/>
      </c>
      <c r="T597" s="37" t="str">
        <f t="shared" si="2"/>
        <v/>
      </c>
      <c r="U597" s="38" t="str">
        <f t="shared" si="3"/>
        <v/>
      </c>
      <c r="V597" s="32" t="str">
        <f t="shared" si="4"/>
        <v/>
      </c>
      <c r="W597" s="39" t="str">
        <f>IFERROR(__xludf.DUMMYFUNCTION(" IF(Account!$F597&lt;&gt;"""", SPLIT(Account!$F597, "" ""), """")"),"")</f>
        <v/>
      </c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</row>
    <row r="598">
      <c r="A598" s="12"/>
      <c r="B598" s="12"/>
      <c r="C598" s="12"/>
      <c r="D598" s="12"/>
      <c r="E598" s="12"/>
      <c r="F598" s="13"/>
      <c r="G598" s="291"/>
      <c r="H598" s="12"/>
      <c r="I598" s="12"/>
      <c r="J598" s="12"/>
      <c r="K598" s="12"/>
      <c r="L598" s="13"/>
      <c r="M598" s="30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2" t="str">
        <f>IFERROR(__xludf.DUMMYFUNCTION("IF(Account!$F598&lt;&gt;"""", VALUE(REGEXREPLACE($I598, ""\,"", ""."")), """")"),"")</f>
        <v/>
      </c>
      <c r="O598" s="33" t="str">
        <f>IF(Account!$F598&lt;&gt;"", DATEVALUE(MID($A598,4,3) &amp; LEFT($A598,3) &amp; RIGHT($A598,4)) + TIMEVALUE($B598), "")</f>
        <v/>
      </c>
      <c r="P598" s="34" t="str">
        <f>IF(Account!$F598&lt;&gt;"", DATEVALUE(MID($C598,4,3) &amp; LEFT($C598,3) &amp; RIGHT($C598,4)), "")</f>
        <v/>
      </c>
      <c r="Q598" s="35" t="str">
        <f t="array" ref="Q598">IF($R598&lt;&gt;"",IFERROR(INDEX(ISIN!$B:$B,MATCH($R598,ISIN!$C:$C,0))),)</f>
        <v/>
      </c>
      <c r="R598" s="36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5" t="str">
        <f t="shared" si="1"/>
        <v/>
      </c>
      <c r="T598" s="37" t="str">
        <f t="shared" si="2"/>
        <v/>
      </c>
      <c r="U598" s="38" t="str">
        <f t="shared" si="3"/>
        <v/>
      </c>
      <c r="V598" s="32" t="str">
        <f t="shared" si="4"/>
        <v/>
      </c>
      <c r="W598" s="39" t="str">
        <f>IFERROR(__xludf.DUMMYFUNCTION(" IF(Account!$F598&lt;&gt;"""", SPLIT(Account!$F598, "" ""), """")"),"")</f>
        <v/>
      </c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</row>
    <row r="599">
      <c r="A599" s="12"/>
      <c r="B599" s="12"/>
      <c r="C599" s="12"/>
      <c r="D599" s="12"/>
      <c r="E599" s="12"/>
      <c r="F599" s="13"/>
      <c r="G599" s="291"/>
      <c r="H599" s="12"/>
      <c r="I599" s="12"/>
      <c r="J599" s="12"/>
      <c r="K599" s="12"/>
      <c r="L599" s="13"/>
      <c r="M599" s="30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2" t="str">
        <f>IFERROR(__xludf.DUMMYFUNCTION("IF(Account!$F599&lt;&gt;"""", VALUE(REGEXREPLACE($I599, ""\,"", ""."")), """")"),"")</f>
        <v/>
      </c>
      <c r="O599" s="33" t="str">
        <f>IF(Account!$F599&lt;&gt;"", DATEVALUE(MID($A599,4,3) &amp; LEFT($A599,3) &amp; RIGHT($A599,4)) + TIMEVALUE($B599), "")</f>
        <v/>
      </c>
      <c r="P599" s="34" t="str">
        <f>IF(Account!$F599&lt;&gt;"", DATEVALUE(MID($C599,4,3) &amp; LEFT($C599,3) &amp; RIGHT($C599,4)), "")</f>
        <v/>
      </c>
      <c r="Q599" s="35" t="str">
        <f t="array" ref="Q599">IF($R599&lt;&gt;"",IFERROR(INDEX(ISIN!$B:$B,MATCH($R599,ISIN!$C:$C,0))),)</f>
        <v/>
      </c>
      <c r="R599" s="36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5" t="str">
        <f t="shared" si="1"/>
        <v/>
      </c>
      <c r="T599" s="37" t="str">
        <f t="shared" si="2"/>
        <v/>
      </c>
      <c r="U599" s="38" t="str">
        <f t="shared" si="3"/>
        <v/>
      </c>
      <c r="V599" s="32" t="str">
        <f t="shared" si="4"/>
        <v/>
      </c>
      <c r="W599" s="39" t="str">
        <f>IFERROR(__xludf.DUMMYFUNCTION(" IF(Account!$F599&lt;&gt;"""", SPLIT(Account!$F599, "" ""), """")"),"")</f>
        <v/>
      </c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</row>
    <row r="600">
      <c r="A600" s="12"/>
      <c r="B600" s="12"/>
      <c r="C600" s="12"/>
      <c r="D600" s="12"/>
      <c r="E600" s="12"/>
      <c r="F600" s="13"/>
      <c r="G600" s="291"/>
      <c r="H600" s="12"/>
      <c r="I600" s="12"/>
      <c r="J600" s="12"/>
      <c r="K600" s="12"/>
      <c r="L600" s="13"/>
      <c r="M600" s="30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2" t="str">
        <f>IFERROR(__xludf.DUMMYFUNCTION("IF(Account!$F600&lt;&gt;"""", VALUE(REGEXREPLACE($I600, ""\,"", ""."")), """")"),"")</f>
        <v/>
      </c>
      <c r="O600" s="33" t="str">
        <f>IF(Account!$F600&lt;&gt;"", DATEVALUE(MID($A600,4,3) &amp; LEFT($A600,3) &amp; RIGHT($A600,4)) + TIMEVALUE($B600), "")</f>
        <v/>
      </c>
      <c r="P600" s="34" t="str">
        <f>IF(Account!$F600&lt;&gt;"", DATEVALUE(MID($C600,4,3) &amp; LEFT($C600,3) &amp; RIGHT($C600,4)), "")</f>
        <v/>
      </c>
      <c r="Q600" s="35" t="str">
        <f t="array" ref="Q600">IF($R600&lt;&gt;"",IFERROR(INDEX(ISIN!$B:$B,MATCH($R600,ISIN!$C:$C,0))),)</f>
        <v/>
      </c>
      <c r="R600" s="36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5" t="str">
        <f t="shared" si="1"/>
        <v/>
      </c>
      <c r="T600" s="37" t="str">
        <f t="shared" si="2"/>
        <v/>
      </c>
      <c r="U600" s="38" t="str">
        <f t="shared" si="3"/>
        <v/>
      </c>
      <c r="V600" s="32" t="str">
        <f t="shared" si="4"/>
        <v/>
      </c>
      <c r="W600" s="39" t="str">
        <f>IFERROR(__xludf.DUMMYFUNCTION(" IF(Account!$F600&lt;&gt;"""", SPLIT(Account!$F600, "" ""), """")"),"")</f>
        <v/>
      </c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</row>
    <row r="601">
      <c r="A601" s="12"/>
      <c r="B601" s="12"/>
      <c r="C601" s="12"/>
      <c r="D601" s="12"/>
      <c r="E601" s="12"/>
      <c r="F601" s="13"/>
      <c r="G601" s="291"/>
      <c r="H601" s="12"/>
      <c r="I601" s="12"/>
      <c r="J601" s="12"/>
      <c r="K601" s="12"/>
      <c r="L601" s="13"/>
      <c r="M601" s="30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2" t="str">
        <f>IFERROR(__xludf.DUMMYFUNCTION("IF(Account!$F601&lt;&gt;"""", VALUE(REGEXREPLACE($I601, ""\,"", ""."")), """")"),"")</f>
        <v/>
      </c>
      <c r="O601" s="33" t="str">
        <f>IF(Account!$F601&lt;&gt;"", DATEVALUE(MID($A601,4,3) &amp; LEFT($A601,3) &amp; RIGHT($A601,4)) + TIMEVALUE($B601), "")</f>
        <v/>
      </c>
      <c r="P601" s="34" t="str">
        <f>IF(Account!$F601&lt;&gt;"", DATEVALUE(MID($C601,4,3) &amp; LEFT($C601,3) &amp; RIGHT($C601,4)), "")</f>
        <v/>
      </c>
      <c r="Q601" s="35" t="str">
        <f t="array" ref="Q601">IF($R601&lt;&gt;"",IFERROR(INDEX(ISIN!$B:$B,MATCH($R601,ISIN!$C:$C,0))),)</f>
        <v/>
      </c>
      <c r="R601" s="36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5" t="str">
        <f t="shared" si="1"/>
        <v/>
      </c>
      <c r="T601" s="37" t="str">
        <f t="shared" si="2"/>
        <v/>
      </c>
      <c r="U601" s="38" t="str">
        <f t="shared" si="3"/>
        <v/>
      </c>
      <c r="V601" s="32" t="str">
        <f t="shared" si="4"/>
        <v/>
      </c>
      <c r="W601" s="39" t="str">
        <f>IFERROR(__xludf.DUMMYFUNCTION(" IF(Account!$F601&lt;&gt;"""", SPLIT(Account!$F601, "" ""), """")"),"")</f>
        <v/>
      </c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</row>
    <row r="602">
      <c r="A602" s="12"/>
      <c r="B602" s="12"/>
      <c r="C602" s="12"/>
      <c r="D602" s="12"/>
      <c r="E602" s="12"/>
      <c r="F602" s="13"/>
      <c r="G602" s="291"/>
      <c r="H602" s="12"/>
      <c r="I602" s="12"/>
      <c r="J602" s="12"/>
      <c r="K602" s="12"/>
      <c r="L602" s="13"/>
      <c r="M602" s="30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2" t="str">
        <f>IFERROR(__xludf.DUMMYFUNCTION("IF(Account!$F602&lt;&gt;"""", VALUE(REGEXREPLACE($I602, ""\,"", ""."")), """")"),"")</f>
        <v/>
      </c>
      <c r="O602" s="33" t="str">
        <f>IF(Account!$F602&lt;&gt;"", DATEVALUE(MID($A602,4,3) &amp; LEFT($A602,3) &amp; RIGHT($A602,4)) + TIMEVALUE($B602), "")</f>
        <v/>
      </c>
      <c r="P602" s="34" t="str">
        <f>IF(Account!$F602&lt;&gt;"", DATEVALUE(MID($C602,4,3) &amp; LEFT($C602,3) &amp; RIGHT($C602,4)), "")</f>
        <v/>
      </c>
      <c r="Q602" s="35" t="str">
        <f t="array" ref="Q602">IF($R602&lt;&gt;"",IFERROR(INDEX(ISIN!$B:$B,MATCH($R602,ISIN!$C:$C,0))),)</f>
        <v/>
      </c>
      <c r="R602" s="36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5" t="str">
        <f t="shared" si="1"/>
        <v/>
      </c>
      <c r="T602" s="37" t="str">
        <f t="shared" si="2"/>
        <v/>
      </c>
      <c r="U602" s="38" t="str">
        <f t="shared" si="3"/>
        <v/>
      </c>
      <c r="V602" s="32" t="str">
        <f t="shared" si="4"/>
        <v/>
      </c>
      <c r="W602" s="39" t="str">
        <f>IFERROR(__xludf.DUMMYFUNCTION(" IF(Account!$F602&lt;&gt;"""", SPLIT(Account!$F602, "" ""), """")"),"")</f>
        <v/>
      </c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</row>
    <row r="603">
      <c r="A603" s="12"/>
      <c r="B603" s="12"/>
      <c r="C603" s="12"/>
      <c r="D603" s="12"/>
      <c r="E603" s="12"/>
      <c r="F603" s="13"/>
      <c r="G603" s="12"/>
      <c r="H603" s="12"/>
      <c r="I603" s="12"/>
      <c r="J603" s="12"/>
      <c r="K603" s="12"/>
      <c r="L603" s="13"/>
      <c r="M603" s="30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2" t="str">
        <f>IFERROR(__xludf.DUMMYFUNCTION("IF(Account!$F603&lt;&gt;"""", VALUE(REGEXREPLACE($I603, ""\,"", ""."")), """")"),"")</f>
        <v/>
      </c>
      <c r="O603" s="33" t="str">
        <f>IF(Account!$F603&lt;&gt;"", DATEVALUE(MID($A603,4,3) &amp; LEFT($A603,3) &amp; RIGHT($A603,4)) + TIMEVALUE($B603), "")</f>
        <v/>
      </c>
      <c r="P603" s="34" t="str">
        <f>IF(Account!$F603&lt;&gt;"", DATEVALUE(MID($C603,4,3) &amp; LEFT($C603,3) &amp; RIGHT($C603,4)), "")</f>
        <v/>
      </c>
      <c r="Q603" s="35" t="str">
        <f t="array" ref="Q603">IF($R603&lt;&gt;"",IFERROR(INDEX(ISIN!$B:$B,MATCH($R603,ISIN!$C:$C,0))),)</f>
        <v/>
      </c>
      <c r="R603" s="36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5" t="str">
        <f t="shared" si="1"/>
        <v/>
      </c>
      <c r="T603" s="37" t="str">
        <f t="shared" si="2"/>
        <v/>
      </c>
      <c r="U603" s="38" t="str">
        <f t="shared" si="3"/>
        <v/>
      </c>
      <c r="V603" s="32" t="str">
        <f t="shared" si="4"/>
        <v/>
      </c>
      <c r="W603" s="39" t="str">
        <f>IFERROR(__xludf.DUMMYFUNCTION(" IF(Account!$F603&lt;&gt;"""", SPLIT(Account!$F603, "" ""), """")"),"")</f>
        <v/>
      </c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</row>
    <row r="604">
      <c r="A604" s="12"/>
      <c r="B604" s="12"/>
      <c r="C604" s="12"/>
      <c r="D604" s="12"/>
      <c r="E604" s="12"/>
      <c r="F604" s="13"/>
      <c r="G604" s="291"/>
      <c r="H604" s="12"/>
      <c r="I604" s="12"/>
      <c r="J604" s="12"/>
      <c r="K604" s="12"/>
      <c r="L604" s="13"/>
      <c r="M604" s="30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2" t="str">
        <f>IFERROR(__xludf.DUMMYFUNCTION("IF(Account!$F604&lt;&gt;"""", VALUE(REGEXREPLACE($I604, ""\,"", ""."")), """")"),"")</f>
        <v/>
      </c>
      <c r="O604" s="33" t="str">
        <f>IF(Account!$F604&lt;&gt;"", DATEVALUE(MID($A604,4,3) &amp; LEFT($A604,3) &amp; RIGHT($A604,4)) + TIMEVALUE($B604), "")</f>
        <v/>
      </c>
      <c r="P604" s="34" t="str">
        <f>IF(Account!$F604&lt;&gt;"", DATEVALUE(MID($C604,4,3) &amp; LEFT($C604,3) &amp; RIGHT($C604,4)), "")</f>
        <v/>
      </c>
      <c r="Q604" s="35" t="str">
        <f t="array" ref="Q604">IF($R604&lt;&gt;"",IFERROR(INDEX(ISIN!$B:$B,MATCH($R604,ISIN!$C:$C,0))),)</f>
        <v/>
      </c>
      <c r="R604" s="36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5" t="str">
        <f t="shared" si="1"/>
        <v/>
      </c>
      <c r="T604" s="37" t="str">
        <f t="shared" si="2"/>
        <v/>
      </c>
      <c r="U604" s="38" t="str">
        <f t="shared" si="3"/>
        <v/>
      </c>
      <c r="V604" s="32" t="str">
        <f t="shared" si="4"/>
        <v/>
      </c>
      <c r="W604" s="39" t="str">
        <f>IFERROR(__xludf.DUMMYFUNCTION(" IF(Account!$F604&lt;&gt;"""", SPLIT(Account!$F604, "" ""), """")"),"")</f>
        <v/>
      </c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</row>
    <row r="605">
      <c r="A605" s="12"/>
      <c r="B605" s="12"/>
      <c r="C605" s="12"/>
      <c r="D605" s="12"/>
      <c r="E605" s="12"/>
      <c r="F605" s="13"/>
      <c r="G605" s="291"/>
      <c r="H605" s="12"/>
      <c r="I605" s="12"/>
      <c r="J605" s="12"/>
      <c r="K605" s="12"/>
      <c r="L605" s="13"/>
      <c r="M605" s="30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2" t="str">
        <f>IFERROR(__xludf.DUMMYFUNCTION("IF(Account!$F605&lt;&gt;"""", VALUE(REGEXREPLACE($I605, ""\,"", ""."")), """")"),"")</f>
        <v/>
      </c>
      <c r="O605" s="33" t="str">
        <f>IF(Account!$F605&lt;&gt;"", DATEVALUE(MID($A605,4,3) &amp; LEFT($A605,3) &amp; RIGHT($A605,4)) + TIMEVALUE($B605), "")</f>
        <v/>
      </c>
      <c r="P605" s="34" t="str">
        <f>IF(Account!$F605&lt;&gt;"", DATEVALUE(MID($C605,4,3) &amp; LEFT($C605,3) &amp; RIGHT($C605,4)), "")</f>
        <v/>
      </c>
      <c r="Q605" s="35" t="str">
        <f t="array" ref="Q605">IF($R605&lt;&gt;"",IFERROR(INDEX(ISIN!$B:$B,MATCH($R605,ISIN!$C:$C,0))),)</f>
        <v/>
      </c>
      <c r="R605" s="36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5" t="str">
        <f t="shared" si="1"/>
        <v/>
      </c>
      <c r="T605" s="37" t="str">
        <f t="shared" si="2"/>
        <v/>
      </c>
      <c r="U605" s="38" t="str">
        <f t="shared" si="3"/>
        <v/>
      </c>
      <c r="V605" s="32" t="str">
        <f t="shared" si="4"/>
        <v/>
      </c>
      <c r="W605" s="39" t="str">
        <f>IFERROR(__xludf.DUMMYFUNCTION(" IF(Account!$F605&lt;&gt;"""", SPLIT(Account!$F605, "" ""), """")"),"")</f>
        <v/>
      </c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</row>
    <row r="606">
      <c r="A606" s="12"/>
      <c r="B606" s="12"/>
      <c r="C606" s="12"/>
      <c r="D606" s="12"/>
      <c r="E606" s="12"/>
      <c r="F606" s="13"/>
      <c r="G606" s="291"/>
      <c r="H606" s="12"/>
      <c r="I606" s="12"/>
      <c r="J606" s="12"/>
      <c r="K606" s="12"/>
      <c r="L606" s="13"/>
      <c r="M606" s="30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2" t="str">
        <f>IFERROR(__xludf.DUMMYFUNCTION("IF(Account!$F606&lt;&gt;"""", VALUE(REGEXREPLACE($I606, ""\,"", ""."")), """")"),"")</f>
        <v/>
      </c>
      <c r="O606" s="33" t="str">
        <f>IF(Account!$F606&lt;&gt;"", DATEVALUE(MID($A606,4,3) &amp; LEFT($A606,3) &amp; RIGHT($A606,4)) + TIMEVALUE($B606), "")</f>
        <v/>
      </c>
      <c r="P606" s="34" t="str">
        <f>IF(Account!$F606&lt;&gt;"", DATEVALUE(MID($C606,4,3) &amp; LEFT($C606,3) &amp; RIGHT($C606,4)), "")</f>
        <v/>
      </c>
      <c r="Q606" s="35" t="str">
        <f t="array" ref="Q606">IF($R606&lt;&gt;"",IFERROR(INDEX(ISIN!$B:$B,MATCH($R606,ISIN!$C:$C,0))),)</f>
        <v/>
      </c>
      <c r="R606" s="36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5" t="str">
        <f t="shared" si="1"/>
        <v/>
      </c>
      <c r="T606" s="37" t="str">
        <f t="shared" si="2"/>
        <v/>
      </c>
      <c r="U606" s="38" t="str">
        <f t="shared" si="3"/>
        <v/>
      </c>
      <c r="V606" s="32" t="str">
        <f t="shared" si="4"/>
        <v/>
      </c>
      <c r="W606" s="39" t="str">
        <f>IFERROR(__xludf.DUMMYFUNCTION(" IF(Account!$F606&lt;&gt;"""", SPLIT(Account!$F606, "" ""), """")"),"")</f>
        <v/>
      </c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</row>
    <row r="607">
      <c r="A607" s="12"/>
      <c r="B607" s="12"/>
      <c r="C607" s="12"/>
      <c r="D607" s="12"/>
      <c r="E607" s="12"/>
      <c r="F607" s="13"/>
      <c r="G607" s="291"/>
      <c r="H607" s="12"/>
      <c r="I607" s="12"/>
      <c r="J607" s="12"/>
      <c r="K607" s="12"/>
      <c r="L607" s="13"/>
      <c r="M607" s="30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2" t="str">
        <f>IFERROR(__xludf.DUMMYFUNCTION("IF(Account!$F607&lt;&gt;"""", VALUE(REGEXREPLACE($I607, ""\,"", ""."")), """")"),"")</f>
        <v/>
      </c>
      <c r="O607" s="33" t="str">
        <f>IF(Account!$F607&lt;&gt;"", DATEVALUE(MID($A607,4,3) &amp; LEFT($A607,3) &amp; RIGHT($A607,4)) + TIMEVALUE($B607), "")</f>
        <v/>
      </c>
      <c r="P607" s="34" t="str">
        <f>IF(Account!$F607&lt;&gt;"", DATEVALUE(MID($C607,4,3) &amp; LEFT($C607,3) &amp; RIGHT($C607,4)), "")</f>
        <v/>
      </c>
      <c r="Q607" s="35" t="str">
        <f t="array" ref="Q607">IF($R607&lt;&gt;"",IFERROR(INDEX(ISIN!$B:$B,MATCH($R607,ISIN!$C:$C,0))),)</f>
        <v/>
      </c>
      <c r="R607" s="36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5" t="str">
        <f t="shared" si="1"/>
        <v/>
      </c>
      <c r="T607" s="37" t="str">
        <f t="shared" si="2"/>
        <v/>
      </c>
      <c r="U607" s="38" t="str">
        <f t="shared" si="3"/>
        <v/>
      </c>
      <c r="V607" s="32" t="str">
        <f t="shared" si="4"/>
        <v/>
      </c>
      <c r="W607" s="39" t="str">
        <f>IFERROR(__xludf.DUMMYFUNCTION(" IF(Account!$F607&lt;&gt;"""", SPLIT(Account!$F607, "" ""), """")"),"")</f>
        <v/>
      </c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</row>
    <row r="608">
      <c r="A608" s="12"/>
      <c r="B608" s="12"/>
      <c r="C608" s="12"/>
      <c r="D608" s="12"/>
      <c r="E608" s="12"/>
      <c r="F608" s="13"/>
      <c r="G608" s="291"/>
      <c r="H608" s="12"/>
      <c r="I608" s="12"/>
      <c r="J608" s="12"/>
      <c r="K608" s="12"/>
      <c r="L608" s="13"/>
      <c r="M608" s="30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2" t="str">
        <f>IFERROR(__xludf.DUMMYFUNCTION("IF(Account!$F608&lt;&gt;"""", VALUE(REGEXREPLACE($I608, ""\,"", ""."")), """")"),"")</f>
        <v/>
      </c>
      <c r="O608" s="33" t="str">
        <f>IF(Account!$F608&lt;&gt;"", DATEVALUE(MID($A608,4,3) &amp; LEFT($A608,3) &amp; RIGHT($A608,4)) + TIMEVALUE($B608), "")</f>
        <v/>
      </c>
      <c r="P608" s="34" t="str">
        <f>IF(Account!$F608&lt;&gt;"", DATEVALUE(MID($C608,4,3) &amp; LEFT($C608,3) &amp; RIGHT($C608,4)), "")</f>
        <v/>
      </c>
      <c r="Q608" s="35" t="str">
        <f t="array" ref="Q608">IF($R608&lt;&gt;"",IFERROR(INDEX(ISIN!$B:$B,MATCH($R608,ISIN!$C:$C,0))),)</f>
        <v/>
      </c>
      <c r="R608" s="36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5" t="str">
        <f t="shared" si="1"/>
        <v/>
      </c>
      <c r="T608" s="37" t="str">
        <f t="shared" si="2"/>
        <v/>
      </c>
      <c r="U608" s="38" t="str">
        <f t="shared" si="3"/>
        <v/>
      </c>
      <c r="V608" s="32" t="str">
        <f t="shared" si="4"/>
        <v/>
      </c>
      <c r="W608" s="39" t="str">
        <f>IFERROR(__xludf.DUMMYFUNCTION(" IF(Account!$F608&lt;&gt;"""", SPLIT(Account!$F608, "" ""), """")"),"")</f>
        <v/>
      </c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</row>
    <row r="609">
      <c r="A609" s="12"/>
      <c r="B609" s="12"/>
      <c r="C609" s="12"/>
      <c r="D609" s="12"/>
      <c r="E609" s="12"/>
      <c r="F609" s="13"/>
      <c r="G609" s="291"/>
      <c r="H609" s="12"/>
      <c r="I609" s="12"/>
      <c r="J609" s="12"/>
      <c r="K609" s="12"/>
      <c r="L609" s="13"/>
      <c r="M609" s="30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2" t="str">
        <f>IFERROR(__xludf.DUMMYFUNCTION("IF(Account!$F609&lt;&gt;"""", VALUE(REGEXREPLACE($I609, ""\,"", ""."")), """")"),"")</f>
        <v/>
      </c>
      <c r="O609" s="33" t="str">
        <f>IF(Account!$F609&lt;&gt;"", DATEVALUE(MID($A609,4,3) &amp; LEFT($A609,3) &amp; RIGHT($A609,4)) + TIMEVALUE($B609), "")</f>
        <v/>
      </c>
      <c r="P609" s="34" t="str">
        <f>IF(Account!$F609&lt;&gt;"", DATEVALUE(MID($C609,4,3) &amp; LEFT($C609,3) &amp; RIGHT($C609,4)), "")</f>
        <v/>
      </c>
      <c r="Q609" s="35" t="str">
        <f t="array" ref="Q609">IF($R609&lt;&gt;"",IFERROR(INDEX(ISIN!$B:$B,MATCH($R609,ISIN!$C:$C,0))),)</f>
        <v/>
      </c>
      <c r="R609" s="36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5" t="str">
        <f t="shared" si="1"/>
        <v/>
      </c>
      <c r="T609" s="37" t="str">
        <f t="shared" si="2"/>
        <v/>
      </c>
      <c r="U609" s="38" t="str">
        <f t="shared" si="3"/>
        <v/>
      </c>
      <c r="V609" s="32" t="str">
        <f t="shared" si="4"/>
        <v/>
      </c>
      <c r="W609" s="39" t="str">
        <f>IFERROR(__xludf.DUMMYFUNCTION(" IF(Account!$F609&lt;&gt;"""", SPLIT(Account!$F609, "" ""), """")"),"")</f>
        <v/>
      </c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</row>
    <row r="610">
      <c r="A610" s="12"/>
      <c r="B610" s="12"/>
      <c r="C610" s="12"/>
      <c r="D610" s="12"/>
      <c r="E610" s="12"/>
      <c r="F610" s="13"/>
      <c r="G610" s="291"/>
      <c r="H610" s="12"/>
      <c r="I610" s="12"/>
      <c r="J610" s="12"/>
      <c r="K610" s="12"/>
      <c r="L610" s="13"/>
      <c r="M610" s="30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2" t="str">
        <f>IFERROR(__xludf.DUMMYFUNCTION("IF(Account!$F610&lt;&gt;"""", VALUE(REGEXREPLACE($I610, ""\,"", ""."")), """")"),"")</f>
        <v/>
      </c>
      <c r="O610" s="33" t="str">
        <f>IF(Account!$F610&lt;&gt;"", DATEVALUE(MID($A610,4,3) &amp; LEFT($A610,3) &amp; RIGHT($A610,4)) + TIMEVALUE($B610), "")</f>
        <v/>
      </c>
      <c r="P610" s="34" t="str">
        <f>IF(Account!$F610&lt;&gt;"", DATEVALUE(MID($C610,4,3) &amp; LEFT($C610,3) &amp; RIGHT($C610,4)), "")</f>
        <v/>
      </c>
      <c r="Q610" s="35" t="str">
        <f t="array" ref="Q610">IF($R610&lt;&gt;"",IFERROR(INDEX(ISIN!$B:$B,MATCH($R610,ISIN!$C:$C,0))),)</f>
        <v/>
      </c>
      <c r="R610" s="36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5" t="str">
        <f t="shared" si="1"/>
        <v/>
      </c>
      <c r="T610" s="37" t="str">
        <f t="shared" si="2"/>
        <v/>
      </c>
      <c r="U610" s="38" t="str">
        <f t="shared" si="3"/>
        <v/>
      </c>
      <c r="V610" s="32" t="str">
        <f t="shared" si="4"/>
        <v/>
      </c>
      <c r="W610" s="39" t="str">
        <f>IFERROR(__xludf.DUMMYFUNCTION(" IF(Account!$F610&lt;&gt;"""", SPLIT(Account!$F610, "" ""), """")"),"")</f>
        <v/>
      </c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</row>
    <row r="611">
      <c r="A611" s="12"/>
      <c r="B611" s="12"/>
      <c r="C611" s="12"/>
      <c r="D611" s="12"/>
      <c r="E611" s="12"/>
      <c r="F611" s="13"/>
      <c r="G611" s="12"/>
      <c r="H611" s="12"/>
      <c r="I611" s="12"/>
      <c r="J611" s="12"/>
      <c r="K611" s="12"/>
      <c r="L611" s="13"/>
      <c r="M611" s="30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2" t="str">
        <f>IFERROR(__xludf.DUMMYFUNCTION("IF(Account!$F611&lt;&gt;"""", VALUE(REGEXREPLACE($I611, ""\,"", ""."")), """")"),"")</f>
        <v/>
      </c>
      <c r="O611" s="33" t="str">
        <f>IF(Account!$F611&lt;&gt;"", DATEVALUE(MID($A611,4,3) &amp; LEFT($A611,3) &amp; RIGHT($A611,4)) + TIMEVALUE($B611), "")</f>
        <v/>
      </c>
      <c r="P611" s="34" t="str">
        <f>IF(Account!$F611&lt;&gt;"", DATEVALUE(MID($C611,4,3) &amp; LEFT($C611,3) &amp; RIGHT($C611,4)), "")</f>
        <v/>
      </c>
      <c r="Q611" s="35" t="str">
        <f t="array" ref="Q611">IF($R611&lt;&gt;"",IFERROR(INDEX(ISIN!$B:$B,MATCH($R611,ISIN!$C:$C,0))),)</f>
        <v/>
      </c>
      <c r="R611" s="36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5" t="str">
        <f t="shared" si="1"/>
        <v/>
      </c>
      <c r="T611" s="37" t="str">
        <f t="shared" si="2"/>
        <v/>
      </c>
      <c r="U611" s="38" t="str">
        <f t="shared" si="3"/>
        <v/>
      </c>
      <c r="V611" s="32" t="str">
        <f t="shared" si="4"/>
        <v/>
      </c>
      <c r="W611" s="39" t="str">
        <f>IFERROR(__xludf.DUMMYFUNCTION(" IF(Account!$F611&lt;&gt;"""", SPLIT(Account!$F611, "" ""), """")"),"")</f>
        <v/>
      </c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</row>
    <row r="612">
      <c r="A612" s="12"/>
      <c r="B612" s="12"/>
      <c r="C612" s="12"/>
      <c r="D612" s="12"/>
      <c r="E612" s="12"/>
      <c r="F612" s="13"/>
      <c r="G612" s="291"/>
      <c r="H612" s="12"/>
      <c r="I612" s="12"/>
      <c r="J612" s="12"/>
      <c r="K612" s="12"/>
      <c r="L612" s="13"/>
      <c r="M612" s="30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2" t="str">
        <f>IFERROR(__xludf.DUMMYFUNCTION("IF(Account!$F612&lt;&gt;"""", VALUE(REGEXREPLACE($I612, ""\,"", ""."")), """")"),"")</f>
        <v/>
      </c>
      <c r="O612" s="33" t="str">
        <f>IF(Account!$F612&lt;&gt;"", DATEVALUE(MID($A612,4,3) &amp; LEFT($A612,3) &amp; RIGHT($A612,4)) + TIMEVALUE($B612), "")</f>
        <v/>
      </c>
      <c r="P612" s="34" t="str">
        <f>IF(Account!$F612&lt;&gt;"", DATEVALUE(MID($C612,4,3) &amp; LEFT($C612,3) &amp; RIGHT($C612,4)), "")</f>
        <v/>
      </c>
      <c r="Q612" s="35" t="str">
        <f t="array" ref="Q612">IF($R612&lt;&gt;"",IFERROR(INDEX(ISIN!$B:$B,MATCH($R612,ISIN!$C:$C,0))),)</f>
        <v/>
      </c>
      <c r="R612" s="36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5" t="str">
        <f t="shared" si="1"/>
        <v/>
      </c>
      <c r="T612" s="37" t="str">
        <f t="shared" si="2"/>
        <v/>
      </c>
      <c r="U612" s="38" t="str">
        <f t="shared" si="3"/>
        <v/>
      </c>
      <c r="V612" s="32" t="str">
        <f t="shared" si="4"/>
        <v/>
      </c>
      <c r="W612" s="39" t="str">
        <f>IFERROR(__xludf.DUMMYFUNCTION(" IF(Account!$F612&lt;&gt;"""", SPLIT(Account!$F612, "" ""), """")"),"")</f>
        <v/>
      </c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</row>
    <row r="613">
      <c r="A613" s="12"/>
      <c r="B613" s="12"/>
      <c r="C613" s="12"/>
      <c r="D613" s="12"/>
      <c r="E613" s="12"/>
      <c r="F613" s="13"/>
      <c r="G613" s="291"/>
      <c r="H613" s="12"/>
      <c r="I613" s="12"/>
      <c r="J613" s="12"/>
      <c r="K613" s="12"/>
      <c r="L613" s="13"/>
      <c r="M613" s="30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2" t="str">
        <f>IFERROR(__xludf.DUMMYFUNCTION("IF(Account!$F613&lt;&gt;"""", VALUE(REGEXREPLACE($I613, ""\,"", ""."")), """")"),"")</f>
        <v/>
      </c>
      <c r="O613" s="33" t="str">
        <f>IF(Account!$F613&lt;&gt;"", DATEVALUE(MID($A613,4,3) &amp; LEFT($A613,3) &amp; RIGHT($A613,4)) + TIMEVALUE($B613), "")</f>
        <v/>
      </c>
      <c r="P613" s="34" t="str">
        <f>IF(Account!$F613&lt;&gt;"", DATEVALUE(MID($C613,4,3) &amp; LEFT($C613,3) &amp; RIGHT($C613,4)), "")</f>
        <v/>
      </c>
      <c r="Q613" s="35" t="str">
        <f t="array" ref="Q613">IF($R613&lt;&gt;"",IFERROR(INDEX(ISIN!$B:$B,MATCH($R613,ISIN!$C:$C,0))),)</f>
        <v/>
      </c>
      <c r="R613" s="36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5" t="str">
        <f t="shared" si="1"/>
        <v/>
      </c>
      <c r="T613" s="37" t="str">
        <f t="shared" si="2"/>
        <v/>
      </c>
      <c r="U613" s="38" t="str">
        <f t="shared" si="3"/>
        <v/>
      </c>
      <c r="V613" s="32" t="str">
        <f t="shared" si="4"/>
        <v/>
      </c>
      <c r="W613" s="39" t="str">
        <f>IFERROR(__xludf.DUMMYFUNCTION(" IF(Account!$F613&lt;&gt;"""", SPLIT(Account!$F613, "" ""), """")"),"")</f>
        <v/>
      </c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</row>
    <row r="614">
      <c r="A614" s="291"/>
      <c r="B614" s="291"/>
      <c r="C614" s="291"/>
      <c r="D614" s="291"/>
      <c r="E614" s="291"/>
      <c r="F614" s="335"/>
      <c r="G614" s="291"/>
      <c r="H614" s="291"/>
      <c r="I614" s="291"/>
      <c r="J614" s="291"/>
      <c r="K614" s="291"/>
      <c r="L614" s="13"/>
      <c r="M614" s="30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2" t="str">
        <f>IFERROR(__xludf.DUMMYFUNCTION("IF(Account!$F614&lt;&gt;"""", VALUE(REGEXREPLACE($I614, ""\,"", ""."")), """")"),"")</f>
        <v/>
      </c>
      <c r="O614" s="33" t="str">
        <f>IF(Account!$F614&lt;&gt;"", DATEVALUE(MID($A614,4,3) &amp; LEFT($A614,3) &amp; RIGHT($A614,4)) + TIMEVALUE($B614), "")</f>
        <v/>
      </c>
      <c r="P614" s="34" t="str">
        <f>IF(Account!$F614&lt;&gt;"", DATEVALUE(MID($C614,4,3) &amp; LEFT($C614,3) &amp; RIGHT($C614,4)), "")</f>
        <v/>
      </c>
      <c r="Q614" s="35" t="str">
        <f t="array" ref="Q614">IF($R614&lt;&gt;"",IFERROR(INDEX(ISIN!$B:$B,MATCH($R614,ISIN!$C:$C,0))),)</f>
        <v/>
      </c>
      <c r="R614" s="36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5" t="str">
        <f t="shared" si="1"/>
        <v/>
      </c>
      <c r="T614" s="37" t="str">
        <f t="shared" si="2"/>
        <v/>
      </c>
      <c r="U614" s="38" t="str">
        <f t="shared" si="3"/>
        <v/>
      </c>
      <c r="V614" s="32" t="str">
        <f t="shared" si="4"/>
        <v/>
      </c>
      <c r="W614" s="39" t="str">
        <f>IFERROR(__xludf.DUMMYFUNCTION(" IF(Account!$F614&lt;&gt;"""", SPLIT(Account!$F614, "" ""), """")"),"")</f>
        <v/>
      </c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</row>
    <row r="615">
      <c r="A615" s="12"/>
      <c r="B615" s="12"/>
      <c r="C615" s="12"/>
      <c r="D615" s="12"/>
      <c r="E615" s="12"/>
      <c r="F615" s="13"/>
      <c r="G615" s="291"/>
      <c r="H615" s="12"/>
      <c r="I615" s="12"/>
      <c r="J615" s="12"/>
      <c r="K615" s="12"/>
      <c r="L615" s="13"/>
      <c r="M615" s="30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2" t="str">
        <f>IFERROR(__xludf.DUMMYFUNCTION("IF(Account!$F615&lt;&gt;"""", VALUE(REGEXREPLACE($I615, ""\,"", ""."")), """")"),"")</f>
        <v/>
      </c>
      <c r="O615" s="33" t="str">
        <f>IF(Account!$F615&lt;&gt;"", DATEVALUE(MID($A615,4,3) &amp; LEFT($A615,3) &amp; RIGHT($A615,4)) + TIMEVALUE($B615), "")</f>
        <v/>
      </c>
      <c r="P615" s="34" t="str">
        <f>IF(Account!$F615&lt;&gt;"", DATEVALUE(MID($C615,4,3) &amp; LEFT($C615,3) &amp; RIGHT($C615,4)), "")</f>
        <v/>
      </c>
      <c r="Q615" s="35" t="str">
        <f t="array" ref="Q615">IF($R615&lt;&gt;"",IFERROR(INDEX(ISIN!$B:$B,MATCH($R615,ISIN!$C:$C,0))),)</f>
        <v/>
      </c>
      <c r="R615" s="36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5" t="str">
        <f t="shared" si="1"/>
        <v/>
      </c>
      <c r="T615" s="37" t="str">
        <f t="shared" si="2"/>
        <v/>
      </c>
      <c r="U615" s="38" t="str">
        <f t="shared" si="3"/>
        <v/>
      </c>
      <c r="V615" s="32" t="str">
        <f t="shared" si="4"/>
        <v/>
      </c>
      <c r="W615" s="39" t="str">
        <f>IFERROR(__xludf.DUMMYFUNCTION(" IF(Account!$F615&lt;&gt;"""", SPLIT(Account!$F615, "" ""), """")"),"")</f>
        <v/>
      </c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</row>
    <row r="616">
      <c r="A616" s="12"/>
      <c r="B616" s="12"/>
      <c r="C616" s="12"/>
      <c r="D616" s="12"/>
      <c r="E616" s="12"/>
      <c r="F616" s="13"/>
      <c r="G616" s="291"/>
      <c r="H616" s="12"/>
      <c r="I616" s="12"/>
      <c r="J616" s="12"/>
      <c r="K616" s="12"/>
      <c r="L616" s="13"/>
      <c r="M616" s="30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2" t="str">
        <f>IFERROR(__xludf.DUMMYFUNCTION("IF(Account!$F616&lt;&gt;"""", VALUE(REGEXREPLACE($I616, ""\,"", ""."")), """")"),"")</f>
        <v/>
      </c>
      <c r="O616" s="33" t="str">
        <f>IF(Account!$F616&lt;&gt;"", DATEVALUE(MID($A616,4,3) &amp; LEFT($A616,3) &amp; RIGHT($A616,4)) + TIMEVALUE($B616), "")</f>
        <v/>
      </c>
      <c r="P616" s="34" t="str">
        <f>IF(Account!$F616&lt;&gt;"", DATEVALUE(MID($C616,4,3) &amp; LEFT($C616,3) &amp; RIGHT($C616,4)), "")</f>
        <v/>
      </c>
      <c r="Q616" s="35" t="str">
        <f t="array" ref="Q616">IF($R616&lt;&gt;"",IFERROR(INDEX(ISIN!$B:$B,MATCH($R616,ISIN!$C:$C,0))),)</f>
        <v/>
      </c>
      <c r="R616" s="36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5" t="str">
        <f t="shared" si="1"/>
        <v/>
      </c>
      <c r="T616" s="37" t="str">
        <f t="shared" si="2"/>
        <v/>
      </c>
      <c r="U616" s="38" t="str">
        <f t="shared" si="3"/>
        <v/>
      </c>
      <c r="V616" s="32" t="str">
        <f t="shared" si="4"/>
        <v/>
      </c>
      <c r="W616" s="39" t="str">
        <f>IFERROR(__xludf.DUMMYFUNCTION(" IF(Account!$F616&lt;&gt;"""", SPLIT(Account!$F616, "" ""), """")"),"")</f>
        <v/>
      </c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</row>
    <row r="617">
      <c r="A617" s="12"/>
      <c r="B617" s="12"/>
      <c r="C617" s="12"/>
      <c r="D617" s="291"/>
      <c r="E617" s="291"/>
      <c r="F617" s="13"/>
      <c r="G617" s="291"/>
      <c r="H617" s="12"/>
      <c r="I617" s="12"/>
      <c r="J617" s="12"/>
      <c r="K617" s="12"/>
      <c r="L617" s="335"/>
      <c r="M617" s="30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2" t="str">
        <f>IFERROR(__xludf.DUMMYFUNCTION("IF(Account!$F617&lt;&gt;"""", VALUE(REGEXREPLACE($I617, ""\,"", ""."")), """")"),"")</f>
        <v/>
      </c>
      <c r="O617" s="33" t="str">
        <f>IF(Account!$F617&lt;&gt;"", DATEVALUE(MID($A617,4,3) &amp; LEFT($A617,3) &amp; RIGHT($A617,4)) + TIMEVALUE($B617), "")</f>
        <v/>
      </c>
      <c r="P617" s="34" t="str">
        <f>IF(Account!$F617&lt;&gt;"", DATEVALUE(MID($C617,4,3) &amp; LEFT($C617,3) &amp; RIGHT($C617,4)), "")</f>
        <v/>
      </c>
      <c r="Q617" s="35" t="str">
        <f t="array" ref="Q617">IF($R617&lt;&gt;"",IFERROR(INDEX(ISIN!$B:$B,MATCH($R617,ISIN!$C:$C,0))),)</f>
        <v/>
      </c>
      <c r="R617" s="36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5" t="str">
        <f t="shared" si="1"/>
        <v/>
      </c>
      <c r="T617" s="37" t="str">
        <f t="shared" si="2"/>
        <v/>
      </c>
      <c r="U617" s="38" t="str">
        <f t="shared" si="3"/>
        <v/>
      </c>
      <c r="V617" s="32" t="str">
        <f t="shared" si="4"/>
        <v/>
      </c>
      <c r="W617" s="39" t="str">
        <f>IFERROR(__xludf.DUMMYFUNCTION(" IF(Account!$F617&lt;&gt;"""", SPLIT(Account!$F617, "" ""), """")"),"")</f>
        <v/>
      </c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</row>
    <row r="618">
      <c r="A618" s="12"/>
      <c r="B618" s="12"/>
      <c r="C618" s="12"/>
      <c r="D618" s="291"/>
      <c r="E618" s="291"/>
      <c r="F618" s="13"/>
      <c r="G618" s="12"/>
      <c r="H618" s="12"/>
      <c r="I618" s="12"/>
      <c r="J618" s="12"/>
      <c r="K618" s="12"/>
      <c r="L618" s="335"/>
      <c r="M618" s="30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2" t="str">
        <f>IFERROR(__xludf.DUMMYFUNCTION("IF(Account!$F618&lt;&gt;"""", VALUE(REGEXREPLACE($I618, ""\,"", ""."")), """")"),"")</f>
        <v/>
      </c>
      <c r="O618" s="33" t="str">
        <f>IF(Account!$F618&lt;&gt;"", DATEVALUE(MID($A618,4,3) &amp; LEFT($A618,3) &amp; RIGHT($A618,4)) + TIMEVALUE($B618), "")</f>
        <v/>
      </c>
      <c r="P618" s="34" t="str">
        <f>IF(Account!$F618&lt;&gt;"", DATEVALUE(MID($C618,4,3) &amp; LEFT($C618,3) &amp; RIGHT($C618,4)), "")</f>
        <v/>
      </c>
      <c r="Q618" s="35" t="str">
        <f t="array" ref="Q618">IF($R618&lt;&gt;"",IFERROR(INDEX(ISIN!$B:$B,MATCH($R618,ISIN!$C:$C,0))),)</f>
        <v/>
      </c>
      <c r="R618" s="36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5" t="str">
        <f t="shared" si="1"/>
        <v/>
      </c>
      <c r="T618" s="37" t="str">
        <f t="shared" si="2"/>
        <v/>
      </c>
      <c r="U618" s="38" t="str">
        <f t="shared" si="3"/>
        <v/>
      </c>
      <c r="V618" s="32" t="str">
        <f t="shared" si="4"/>
        <v/>
      </c>
      <c r="W618" s="39" t="str">
        <f>IFERROR(__xludf.DUMMYFUNCTION(" IF(Account!$F618&lt;&gt;"""", SPLIT(Account!$F618, "" ""), """")"),"")</f>
        <v/>
      </c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</row>
    <row r="619">
      <c r="A619" s="12"/>
      <c r="B619" s="12"/>
      <c r="C619" s="12"/>
      <c r="D619" s="12"/>
      <c r="E619" s="12"/>
      <c r="F619" s="13"/>
      <c r="G619" s="291"/>
      <c r="H619" s="12"/>
      <c r="I619" s="12"/>
      <c r="J619" s="12"/>
      <c r="K619" s="12"/>
      <c r="L619" s="335"/>
      <c r="M619" s="30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2" t="str">
        <f>IFERROR(__xludf.DUMMYFUNCTION("IF(Account!$F619&lt;&gt;"""", VALUE(REGEXREPLACE($I619, ""\,"", ""."")), """")"),"")</f>
        <v/>
      </c>
      <c r="O619" s="33" t="str">
        <f>IF(Account!$F619&lt;&gt;"", DATEVALUE(MID($A619,4,3) &amp; LEFT($A619,3) &amp; RIGHT($A619,4)) + TIMEVALUE($B619), "")</f>
        <v/>
      </c>
      <c r="P619" s="34" t="str">
        <f>IF(Account!$F619&lt;&gt;"", DATEVALUE(MID($C619,4,3) &amp; LEFT($C619,3) &amp; RIGHT($C619,4)), "")</f>
        <v/>
      </c>
      <c r="Q619" s="35" t="str">
        <f t="array" ref="Q619">IF($R619&lt;&gt;"",IFERROR(INDEX(ISIN!$B:$B,MATCH($R619,ISIN!$C:$C,0))),)</f>
        <v/>
      </c>
      <c r="R619" s="36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5" t="str">
        <f t="shared" si="1"/>
        <v/>
      </c>
      <c r="T619" s="37" t="str">
        <f t="shared" si="2"/>
        <v/>
      </c>
      <c r="U619" s="38" t="str">
        <f t="shared" si="3"/>
        <v/>
      </c>
      <c r="V619" s="32" t="str">
        <f t="shared" si="4"/>
        <v/>
      </c>
      <c r="W619" s="39" t="str">
        <f>IFERROR(__xludf.DUMMYFUNCTION(" IF(Account!$F619&lt;&gt;"""", SPLIT(Account!$F619, "" ""), """")"),"")</f>
        <v/>
      </c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</row>
    <row r="620">
      <c r="A620" s="12"/>
      <c r="B620" s="12"/>
      <c r="C620" s="12"/>
      <c r="D620" s="291"/>
      <c r="E620" s="291"/>
      <c r="F620" s="13"/>
      <c r="G620" s="291"/>
      <c r="H620" s="12"/>
      <c r="I620" s="12"/>
      <c r="J620" s="12"/>
      <c r="K620" s="12"/>
      <c r="L620" s="335"/>
      <c r="M620" s="30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2" t="str">
        <f>IFERROR(__xludf.DUMMYFUNCTION("IF(Account!$F620&lt;&gt;"""", VALUE(REGEXREPLACE($I620, ""\,"", ""."")), """")"),"")</f>
        <v/>
      </c>
      <c r="O620" s="33" t="str">
        <f>IF(Account!$F620&lt;&gt;"", DATEVALUE(MID($A620,4,3) &amp; LEFT($A620,3) &amp; RIGHT($A620,4)) + TIMEVALUE($B620), "")</f>
        <v/>
      </c>
      <c r="P620" s="34" t="str">
        <f>IF(Account!$F620&lt;&gt;"", DATEVALUE(MID($C620,4,3) &amp; LEFT($C620,3) &amp; RIGHT($C620,4)), "")</f>
        <v/>
      </c>
      <c r="Q620" s="35" t="str">
        <f t="array" ref="Q620">IF($R620&lt;&gt;"",IFERROR(INDEX(ISIN!$B:$B,MATCH($R620,ISIN!$C:$C,0))),)</f>
        <v/>
      </c>
      <c r="R620" s="36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5" t="str">
        <f t="shared" si="1"/>
        <v/>
      </c>
      <c r="T620" s="37" t="str">
        <f t="shared" si="2"/>
        <v/>
      </c>
      <c r="U620" s="38" t="str">
        <f t="shared" si="3"/>
        <v/>
      </c>
      <c r="V620" s="32" t="str">
        <f t="shared" si="4"/>
        <v/>
      </c>
      <c r="W620" s="39" t="str">
        <f>IFERROR(__xludf.DUMMYFUNCTION(" IF(Account!$F620&lt;&gt;"""", SPLIT(Account!$F620, "" ""), """")"),"")</f>
        <v/>
      </c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</row>
    <row r="621">
      <c r="A621" s="12"/>
      <c r="B621" s="12"/>
      <c r="C621" s="12"/>
      <c r="D621" s="291"/>
      <c r="E621" s="291"/>
      <c r="F621" s="13"/>
      <c r="G621" s="12"/>
      <c r="H621" s="12"/>
      <c r="I621" s="12"/>
      <c r="J621" s="12"/>
      <c r="K621" s="12"/>
      <c r="L621" s="335"/>
      <c r="M621" s="30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2" t="str">
        <f>IFERROR(__xludf.DUMMYFUNCTION("IF(Account!$F621&lt;&gt;"""", VALUE(REGEXREPLACE($I621, ""\,"", ""."")), """")"),"")</f>
        <v/>
      </c>
      <c r="O621" s="33" t="str">
        <f>IF(Account!$F621&lt;&gt;"", DATEVALUE(MID($A621,4,3) &amp; LEFT($A621,3) &amp; RIGHT($A621,4)) + TIMEVALUE($B621), "")</f>
        <v/>
      </c>
      <c r="P621" s="34" t="str">
        <f>IF(Account!$F621&lt;&gt;"", DATEVALUE(MID($C621,4,3) &amp; LEFT($C621,3) &amp; RIGHT($C621,4)), "")</f>
        <v/>
      </c>
      <c r="Q621" s="35" t="str">
        <f t="array" ref="Q621">IF($R621&lt;&gt;"",IFERROR(INDEX(ISIN!$B:$B,MATCH($R621,ISIN!$C:$C,0))),)</f>
        <v/>
      </c>
      <c r="R621" s="36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5" t="str">
        <f t="shared" si="1"/>
        <v/>
      </c>
      <c r="T621" s="37" t="str">
        <f t="shared" si="2"/>
        <v/>
      </c>
      <c r="U621" s="38" t="str">
        <f t="shared" si="3"/>
        <v/>
      </c>
      <c r="V621" s="32" t="str">
        <f t="shared" si="4"/>
        <v/>
      </c>
      <c r="W621" s="39" t="str">
        <f>IFERROR(__xludf.DUMMYFUNCTION(" IF(Account!$F621&lt;&gt;"""", SPLIT(Account!$F621, "" ""), """")"),"")</f>
        <v/>
      </c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</row>
    <row r="622">
      <c r="A622" s="12"/>
      <c r="B622" s="12"/>
      <c r="C622" s="12"/>
      <c r="D622" s="12"/>
      <c r="E622" s="12"/>
      <c r="F622" s="13"/>
      <c r="G622" s="291"/>
      <c r="H622" s="12"/>
      <c r="I622" s="12"/>
      <c r="J622" s="12"/>
      <c r="K622" s="12"/>
      <c r="L622" s="335"/>
      <c r="M622" s="30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2" t="str">
        <f>IFERROR(__xludf.DUMMYFUNCTION("IF(Account!$F622&lt;&gt;"""", VALUE(REGEXREPLACE($I622, ""\,"", ""."")), """")"),"")</f>
        <v/>
      </c>
      <c r="O622" s="33" t="str">
        <f>IF(Account!$F622&lt;&gt;"", DATEVALUE(MID($A622,4,3) &amp; LEFT($A622,3) &amp; RIGHT($A622,4)) + TIMEVALUE($B622), "")</f>
        <v/>
      </c>
      <c r="P622" s="34" t="str">
        <f>IF(Account!$F622&lt;&gt;"", DATEVALUE(MID($C622,4,3) &amp; LEFT($C622,3) &amp; RIGHT($C622,4)), "")</f>
        <v/>
      </c>
      <c r="Q622" s="35" t="str">
        <f t="array" ref="Q622">IF($R622&lt;&gt;"",IFERROR(INDEX(ISIN!$B:$B,MATCH($R622,ISIN!$C:$C,0))),)</f>
        <v/>
      </c>
      <c r="R622" s="36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5" t="str">
        <f t="shared" si="1"/>
        <v/>
      </c>
      <c r="T622" s="37" t="str">
        <f t="shared" si="2"/>
        <v/>
      </c>
      <c r="U622" s="38" t="str">
        <f t="shared" si="3"/>
        <v/>
      </c>
      <c r="V622" s="32" t="str">
        <f t="shared" si="4"/>
        <v/>
      </c>
      <c r="W622" s="39" t="str">
        <f>IFERROR(__xludf.DUMMYFUNCTION(" IF(Account!$F622&lt;&gt;"""", SPLIT(Account!$F622, "" ""), """")"),"")</f>
        <v/>
      </c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</row>
    <row r="623">
      <c r="A623" s="12"/>
      <c r="B623" s="12"/>
      <c r="C623" s="12"/>
      <c r="D623" s="12"/>
      <c r="E623" s="12"/>
      <c r="F623" s="13"/>
      <c r="G623" s="291"/>
      <c r="H623" s="12"/>
      <c r="I623" s="12"/>
      <c r="J623" s="12"/>
      <c r="K623" s="12"/>
      <c r="L623" s="335"/>
      <c r="M623" s="30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2" t="str">
        <f>IFERROR(__xludf.DUMMYFUNCTION("IF(Account!$F623&lt;&gt;"""", VALUE(REGEXREPLACE($I623, ""\,"", ""."")), """")"),"")</f>
        <v/>
      </c>
      <c r="O623" s="33" t="str">
        <f>IF(Account!$F623&lt;&gt;"", DATEVALUE(MID($A623,4,3) &amp; LEFT($A623,3) &amp; RIGHT($A623,4)) + TIMEVALUE($B623), "")</f>
        <v/>
      </c>
      <c r="P623" s="34" t="str">
        <f>IF(Account!$F623&lt;&gt;"", DATEVALUE(MID($C623,4,3) &amp; LEFT($C623,3) &amp; RIGHT($C623,4)), "")</f>
        <v/>
      </c>
      <c r="Q623" s="35" t="str">
        <f t="array" ref="Q623">IF($R623&lt;&gt;"",IFERROR(INDEX(ISIN!$B:$B,MATCH($R623,ISIN!$C:$C,0))),)</f>
        <v/>
      </c>
      <c r="R623" s="36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5" t="str">
        <f t="shared" si="1"/>
        <v/>
      </c>
      <c r="T623" s="37" t="str">
        <f t="shared" si="2"/>
        <v/>
      </c>
      <c r="U623" s="38" t="str">
        <f t="shared" si="3"/>
        <v/>
      </c>
      <c r="V623" s="32" t="str">
        <f t="shared" si="4"/>
        <v/>
      </c>
      <c r="W623" s="39" t="str">
        <f>IFERROR(__xludf.DUMMYFUNCTION(" IF(Account!$F623&lt;&gt;"""", SPLIT(Account!$F623, "" ""), """")"),"")</f>
        <v/>
      </c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</row>
    <row r="624">
      <c r="A624" s="12"/>
      <c r="B624" s="12"/>
      <c r="C624" s="12"/>
      <c r="D624" s="12"/>
      <c r="E624" s="12"/>
      <c r="F624" s="13"/>
      <c r="G624" s="291"/>
      <c r="H624" s="12"/>
      <c r="I624" s="12"/>
      <c r="J624" s="12"/>
      <c r="K624" s="12"/>
      <c r="L624" s="13"/>
      <c r="M624" s="30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2" t="str">
        <f>IFERROR(__xludf.DUMMYFUNCTION("IF(Account!$F624&lt;&gt;"""", VALUE(REGEXREPLACE($I624, ""\,"", ""."")), """")"),"")</f>
        <v/>
      </c>
      <c r="O624" s="33" t="str">
        <f>IF(Account!$F624&lt;&gt;"", DATEVALUE(MID($A624,4,3) &amp; LEFT($A624,3) &amp; RIGHT($A624,4)) + TIMEVALUE($B624), "")</f>
        <v/>
      </c>
      <c r="P624" s="34" t="str">
        <f>IF(Account!$F624&lt;&gt;"", DATEVALUE(MID($C624,4,3) &amp; LEFT($C624,3) &amp; RIGHT($C624,4)), "")</f>
        <v/>
      </c>
      <c r="Q624" s="35" t="str">
        <f t="array" ref="Q624">IF($R624&lt;&gt;"",IFERROR(INDEX(ISIN!$B:$B,MATCH($R624,ISIN!$C:$C,0))),)</f>
        <v/>
      </c>
      <c r="R624" s="36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5" t="str">
        <f t="shared" si="1"/>
        <v/>
      </c>
      <c r="T624" s="37" t="str">
        <f t="shared" si="2"/>
        <v/>
      </c>
      <c r="U624" s="38" t="str">
        <f t="shared" si="3"/>
        <v/>
      </c>
      <c r="V624" s="32" t="str">
        <f t="shared" si="4"/>
        <v/>
      </c>
      <c r="W624" s="39" t="str">
        <f>IFERROR(__xludf.DUMMYFUNCTION(" IF(Account!$F624&lt;&gt;"""", SPLIT(Account!$F624, "" ""), """")"),"")</f>
        <v/>
      </c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</row>
    <row r="625">
      <c r="A625" s="12"/>
      <c r="B625" s="12"/>
      <c r="C625" s="12"/>
      <c r="D625" s="12"/>
      <c r="E625" s="12"/>
      <c r="F625" s="13"/>
      <c r="G625" s="291"/>
      <c r="H625" s="12"/>
      <c r="I625" s="12"/>
      <c r="J625" s="12"/>
      <c r="K625" s="12"/>
      <c r="L625" s="13"/>
      <c r="M625" s="30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2" t="str">
        <f>IFERROR(__xludf.DUMMYFUNCTION("IF(Account!$F625&lt;&gt;"""", VALUE(REGEXREPLACE($I625, ""\,"", ""."")), """")"),"")</f>
        <v/>
      </c>
      <c r="O625" s="33" t="str">
        <f>IF(Account!$F625&lt;&gt;"", DATEVALUE(MID($A625,4,3) &amp; LEFT($A625,3) &amp; RIGHT($A625,4)) + TIMEVALUE($B625), "")</f>
        <v/>
      </c>
      <c r="P625" s="34" t="str">
        <f>IF(Account!$F625&lt;&gt;"", DATEVALUE(MID($C625,4,3) &amp; LEFT($C625,3) &amp; RIGHT($C625,4)), "")</f>
        <v/>
      </c>
      <c r="Q625" s="35" t="str">
        <f t="array" ref="Q625">IF($R625&lt;&gt;"",IFERROR(INDEX(ISIN!$B:$B,MATCH($R625,ISIN!$C:$C,0))),)</f>
        <v/>
      </c>
      <c r="R625" s="36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5" t="str">
        <f t="shared" si="1"/>
        <v/>
      </c>
      <c r="T625" s="37" t="str">
        <f t="shared" si="2"/>
        <v/>
      </c>
      <c r="U625" s="38" t="str">
        <f t="shared" si="3"/>
        <v/>
      </c>
      <c r="V625" s="32" t="str">
        <f t="shared" si="4"/>
        <v/>
      </c>
      <c r="W625" s="39" t="str">
        <f>IFERROR(__xludf.DUMMYFUNCTION(" IF(Account!$F625&lt;&gt;"""", SPLIT(Account!$F625, "" ""), """")"),"")</f>
        <v/>
      </c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</row>
    <row r="626">
      <c r="A626" s="12"/>
      <c r="B626" s="12"/>
      <c r="C626" s="12"/>
      <c r="D626" s="12"/>
      <c r="E626" s="12"/>
      <c r="F626" s="13"/>
      <c r="G626" s="291"/>
      <c r="H626" s="12"/>
      <c r="I626" s="12"/>
      <c r="J626" s="12"/>
      <c r="K626" s="12"/>
      <c r="L626" s="13"/>
      <c r="M626" s="30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2" t="str">
        <f>IFERROR(__xludf.DUMMYFUNCTION("IF(Account!$F626&lt;&gt;"""", VALUE(REGEXREPLACE($I626, ""\,"", ""."")), """")"),"")</f>
        <v/>
      </c>
      <c r="O626" s="33" t="str">
        <f>IF(Account!$F626&lt;&gt;"", DATEVALUE(MID($A626,4,3) &amp; LEFT($A626,3) &amp; RIGHT($A626,4)) + TIMEVALUE($B626), "")</f>
        <v/>
      </c>
      <c r="P626" s="34" t="str">
        <f>IF(Account!$F626&lt;&gt;"", DATEVALUE(MID($C626,4,3) &amp; LEFT($C626,3) &amp; RIGHT($C626,4)), "")</f>
        <v/>
      </c>
      <c r="Q626" s="35" t="str">
        <f t="array" ref="Q626">IF($R626&lt;&gt;"",IFERROR(INDEX(ISIN!$B:$B,MATCH($R626,ISIN!$C:$C,0))),)</f>
        <v/>
      </c>
      <c r="R626" s="36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5" t="str">
        <f t="shared" si="1"/>
        <v/>
      </c>
      <c r="T626" s="37" t="str">
        <f t="shared" si="2"/>
        <v/>
      </c>
      <c r="U626" s="38" t="str">
        <f t="shared" si="3"/>
        <v/>
      </c>
      <c r="V626" s="32" t="str">
        <f t="shared" si="4"/>
        <v/>
      </c>
      <c r="W626" s="39" t="str">
        <f>IFERROR(__xludf.DUMMYFUNCTION(" IF(Account!$F626&lt;&gt;"""", SPLIT(Account!$F626, "" ""), """")"),"")</f>
        <v/>
      </c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</row>
    <row r="627">
      <c r="A627" s="12"/>
      <c r="B627" s="12"/>
      <c r="C627" s="12"/>
      <c r="D627" s="12"/>
      <c r="E627" s="12"/>
      <c r="F627" s="13"/>
      <c r="G627" s="12"/>
      <c r="H627" s="12"/>
      <c r="I627" s="12"/>
      <c r="J627" s="12"/>
      <c r="K627" s="12"/>
      <c r="L627" s="13"/>
      <c r="M627" s="30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2" t="str">
        <f>IFERROR(__xludf.DUMMYFUNCTION("IF(Account!$F627&lt;&gt;"""", VALUE(REGEXREPLACE($I627, ""\,"", ""."")), """")"),"")</f>
        <v/>
      </c>
      <c r="O627" s="33" t="str">
        <f>IF(Account!$F627&lt;&gt;"", DATEVALUE(MID($A627,4,3) &amp; LEFT($A627,3) &amp; RIGHT($A627,4)) + TIMEVALUE($B627), "")</f>
        <v/>
      </c>
      <c r="P627" s="34" t="str">
        <f>IF(Account!$F627&lt;&gt;"", DATEVALUE(MID($C627,4,3) &amp; LEFT($C627,3) &amp; RIGHT($C627,4)), "")</f>
        <v/>
      </c>
      <c r="Q627" s="35" t="str">
        <f t="array" ref="Q627">IF($R627&lt;&gt;"",IFERROR(INDEX(ISIN!$B:$B,MATCH($R627,ISIN!$C:$C,0))),)</f>
        <v/>
      </c>
      <c r="R627" s="36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5" t="str">
        <f t="shared" si="1"/>
        <v/>
      </c>
      <c r="T627" s="37" t="str">
        <f t="shared" si="2"/>
        <v/>
      </c>
      <c r="U627" s="38" t="str">
        <f t="shared" si="3"/>
        <v/>
      </c>
      <c r="V627" s="32" t="str">
        <f t="shared" si="4"/>
        <v/>
      </c>
      <c r="W627" s="39" t="str">
        <f>IFERROR(__xludf.DUMMYFUNCTION(" IF(Account!$F627&lt;&gt;"""", SPLIT(Account!$F627, "" ""), """")"),"")</f>
        <v/>
      </c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</row>
    <row r="628">
      <c r="A628" s="12"/>
      <c r="B628" s="12"/>
      <c r="C628" s="12"/>
      <c r="D628" s="12"/>
      <c r="E628" s="12"/>
      <c r="F628" s="13"/>
      <c r="G628" s="291"/>
      <c r="H628" s="12"/>
      <c r="I628" s="12"/>
      <c r="J628" s="12"/>
      <c r="K628" s="12"/>
      <c r="L628" s="13"/>
      <c r="M628" s="30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2" t="str">
        <f>IFERROR(__xludf.DUMMYFUNCTION("IF(Account!$F628&lt;&gt;"""", VALUE(REGEXREPLACE($I628, ""\,"", ""."")), """")"),"")</f>
        <v/>
      </c>
      <c r="O628" s="33" t="str">
        <f>IF(Account!$F628&lt;&gt;"", DATEVALUE(MID($A628,4,3) &amp; LEFT($A628,3) &amp; RIGHT($A628,4)) + TIMEVALUE($B628), "")</f>
        <v/>
      </c>
      <c r="P628" s="34" t="str">
        <f>IF(Account!$F628&lt;&gt;"", DATEVALUE(MID($C628,4,3) &amp; LEFT($C628,3) &amp; RIGHT($C628,4)), "")</f>
        <v/>
      </c>
      <c r="Q628" s="35" t="str">
        <f t="array" ref="Q628">IF($R628&lt;&gt;"",IFERROR(INDEX(ISIN!$B:$B,MATCH($R628,ISIN!$C:$C,0))),)</f>
        <v/>
      </c>
      <c r="R628" s="36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5" t="str">
        <f t="shared" si="1"/>
        <v/>
      </c>
      <c r="T628" s="37" t="str">
        <f t="shared" si="2"/>
        <v/>
      </c>
      <c r="U628" s="38" t="str">
        <f t="shared" si="3"/>
        <v/>
      </c>
      <c r="V628" s="32" t="str">
        <f t="shared" si="4"/>
        <v/>
      </c>
      <c r="W628" s="39" t="str">
        <f>IFERROR(__xludf.DUMMYFUNCTION(" IF(Account!$F628&lt;&gt;"""", SPLIT(Account!$F628, "" ""), """")"),"")</f>
        <v/>
      </c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</row>
    <row r="629">
      <c r="A629" s="12"/>
      <c r="B629" s="12"/>
      <c r="C629" s="12"/>
      <c r="D629" s="12"/>
      <c r="E629" s="12"/>
      <c r="F629" s="13"/>
      <c r="G629" s="291"/>
      <c r="H629" s="12"/>
      <c r="I629" s="12"/>
      <c r="J629" s="12"/>
      <c r="K629" s="12"/>
      <c r="L629" s="13"/>
      <c r="M629" s="30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2" t="str">
        <f>IFERROR(__xludf.DUMMYFUNCTION("IF(Account!$F629&lt;&gt;"""", VALUE(REGEXREPLACE($I629, ""\,"", ""."")), """")"),"")</f>
        <v/>
      </c>
      <c r="O629" s="33" t="str">
        <f>IF(Account!$F629&lt;&gt;"", DATEVALUE(MID($A629,4,3) &amp; LEFT($A629,3) &amp; RIGHT($A629,4)) + TIMEVALUE($B629), "")</f>
        <v/>
      </c>
      <c r="P629" s="34" t="str">
        <f>IF(Account!$F629&lt;&gt;"", DATEVALUE(MID($C629,4,3) &amp; LEFT($C629,3) &amp; RIGHT($C629,4)), "")</f>
        <v/>
      </c>
      <c r="Q629" s="35" t="str">
        <f t="array" ref="Q629">IF($R629&lt;&gt;"",IFERROR(INDEX(ISIN!$B:$B,MATCH($R629,ISIN!$C:$C,0))),)</f>
        <v/>
      </c>
      <c r="R629" s="36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5" t="str">
        <f t="shared" si="1"/>
        <v/>
      </c>
      <c r="T629" s="37" t="str">
        <f t="shared" si="2"/>
        <v/>
      </c>
      <c r="U629" s="38" t="str">
        <f t="shared" si="3"/>
        <v/>
      </c>
      <c r="V629" s="32" t="str">
        <f t="shared" si="4"/>
        <v/>
      </c>
      <c r="W629" s="39" t="str">
        <f>IFERROR(__xludf.DUMMYFUNCTION(" IF(Account!$F629&lt;&gt;"""", SPLIT(Account!$F629, "" ""), """")"),"")</f>
        <v/>
      </c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</row>
    <row r="630">
      <c r="A630" s="12"/>
      <c r="B630" s="12"/>
      <c r="C630" s="12"/>
      <c r="D630" s="12"/>
      <c r="E630" s="12"/>
      <c r="F630" s="13"/>
      <c r="G630" s="12"/>
      <c r="H630" s="12"/>
      <c r="I630" s="12"/>
      <c r="J630" s="12"/>
      <c r="K630" s="12"/>
      <c r="L630" s="13"/>
      <c r="M630" s="30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2" t="str">
        <f>IFERROR(__xludf.DUMMYFUNCTION("IF(Account!$F630&lt;&gt;"""", VALUE(REGEXREPLACE($I630, ""\,"", ""."")), """")"),"")</f>
        <v/>
      </c>
      <c r="O630" s="33" t="str">
        <f>IF(Account!$F630&lt;&gt;"", DATEVALUE(MID($A630,4,3) &amp; LEFT($A630,3) &amp; RIGHT($A630,4)) + TIMEVALUE($B630), "")</f>
        <v/>
      </c>
      <c r="P630" s="34" t="str">
        <f>IF(Account!$F630&lt;&gt;"", DATEVALUE(MID($C630,4,3) &amp; LEFT($C630,3) &amp; RIGHT($C630,4)), "")</f>
        <v/>
      </c>
      <c r="Q630" s="35" t="str">
        <f t="array" ref="Q630">IF($R630&lt;&gt;"",IFERROR(INDEX(ISIN!$B:$B,MATCH($R630,ISIN!$C:$C,0))),)</f>
        <v/>
      </c>
      <c r="R630" s="36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5" t="str">
        <f t="shared" si="1"/>
        <v/>
      </c>
      <c r="T630" s="37" t="str">
        <f t="shared" si="2"/>
        <v/>
      </c>
      <c r="U630" s="38" t="str">
        <f t="shared" si="3"/>
        <v/>
      </c>
      <c r="V630" s="32" t="str">
        <f t="shared" si="4"/>
        <v/>
      </c>
      <c r="W630" s="39" t="str">
        <f>IFERROR(__xludf.DUMMYFUNCTION(" IF(Account!$F630&lt;&gt;"""", SPLIT(Account!$F630, "" ""), """")"),"")</f>
        <v/>
      </c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</row>
    <row r="631">
      <c r="A631" s="12"/>
      <c r="B631" s="12"/>
      <c r="C631" s="12"/>
      <c r="D631" s="12"/>
      <c r="E631" s="12"/>
      <c r="F631" s="13"/>
      <c r="G631" s="291"/>
      <c r="H631" s="12"/>
      <c r="I631" s="12"/>
      <c r="J631" s="12"/>
      <c r="K631" s="12"/>
      <c r="L631" s="13"/>
      <c r="M631" s="30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2" t="str">
        <f>IFERROR(__xludf.DUMMYFUNCTION("IF(Account!$F631&lt;&gt;"""", VALUE(REGEXREPLACE($I631, ""\,"", ""."")), """")"),"")</f>
        <v/>
      </c>
      <c r="O631" s="33" t="str">
        <f>IF(Account!$F631&lt;&gt;"", DATEVALUE(MID($A631,4,3) &amp; LEFT($A631,3) &amp; RIGHT($A631,4)) + TIMEVALUE($B631), "")</f>
        <v/>
      </c>
      <c r="P631" s="34" t="str">
        <f>IF(Account!$F631&lt;&gt;"", DATEVALUE(MID($C631,4,3) &amp; LEFT($C631,3) &amp; RIGHT($C631,4)), "")</f>
        <v/>
      </c>
      <c r="Q631" s="35" t="str">
        <f t="array" ref="Q631">IF($R631&lt;&gt;"",IFERROR(INDEX(ISIN!$B:$B,MATCH($R631,ISIN!$C:$C,0))),)</f>
        <v/>
      </c>
      <c r="R631" s="36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5" t="str">
        <f t="shared" si="1"/>
        <v/>
      </c>
      <c r="T631" s="37" t="str">
        <f t="shared" si="2"/>
        <v/>
      </c>
      <c r="U631" s="38" t="str">
        <f t="shared" si="3"/>
        <v/>
      </c>
      <c r="V631" s="32" t="str">
        <f t="shared" si="4"/>
        <v/>
      </c>
      <c r="W631" s="39" t="str">
        <f>IFERROR(__xludf.DUMMYFUNCTION(" IF(Account!$F631&lt;&gt;"""", SPLIT(Account!$F631, "" ""), """")"),"")</f>
        <v/>
      </c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</row>
    <row r="632">
      <c r="A632" s="12"/>
      <c r="B632" s="12"/>
      <c r="C632" s="12"/>
      <c r="D632" s="12"/>
      <c r="E632" s="12"/>
      <c r="F632" s="13"/>
      <c r="G632" s="291"/>
      <c r="H632" s="12"/>
      <c r="I632" s="12"/>
      <c r="J632" s="12"/>
      <c r="K632" s="12"/>
      <c r="L632" s="13"/>
      <c r="M632" s="30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2" t="str">
        <f>IFERROR(__xludf.DUMMYFUNCTION("IF(Account!$F632&lt;&gt;"""", VALUE(REGEXREPLACE($I632, ""\,"", ""."")), """")"),"")</f>
        <v/>
      </c>
      <c r="O632" s="33" t="str">
        <f>IF(Account!$F632&lt;&gt;"", DATEVALUE(MID($A632,4,3) &amp; LEFT($A632,3) &amp; RIGHT($A632,4)) + TIMEVALUE($B632), "")</f>
        <v/>
      </c>
      <c r="P632" s="34" t="str">
        <f>IF(Account!$F632&lt;&gt;"", DATEVALUE(MID($C632,4,3) &amp; LEFT($C632,3) &amp; RIGHT($C632,4)), "")</f>
        <v/>
      </c>
      <c r="Q632" s="35" t="str">
        <f t="array" ref="Q632">IF($R632&lt;&gt;"",IFERROR(INDEX(ISIN!$B:$B,MATCH($R632,ISIN!$C:$C,0))),)</f>
        <v/>
      </c>
      <c r="R632" s="36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5" t="str">
        <f t="shared" si="1"/>
        <v/>
      </c>
      <c r="T632" s="37" t="str">
        <f t="shared" si="2"/>
        <v/>
      </c>
      <c r="U632" s="38" t="str">
        <f t="shared" si="3"/>
        <v/>
      </c>
      <c r="V632" s="32" t="str">
        <f t="shared" si="4"/>
        <v/>
      </c>
      <c r="W632" s="39" t="str">
        <f>IFERROR(__xludf.DUMMYFUNCTION(" IF(Account!$F632&lt;&gt;"""", SPLIT(Account!$F632, "" ""), """")"),"")</f>
        <v/>
      </c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</row>
    <row r="633">
      <c r="A633" s="12"/>
      <c r="B633" s="12"/>
      <c r="C633" s="12"/>
      <c r="D633" s="12"/>
      <c r="E633" s="12"/>
      <c r="F633" s="13"/>
      <c r="G633" s="291"/>
      <c r="H633" s="12"/>
      <c r="I633" s="12"/>
      <c r="J633" s="12"/>
      <c r="K633" s="12"/>
      <c r="L633" s="13"/>
      <c r="M633" s="30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2" t="str">
        <f>IFERROR(__xludf.DUMMYFUNCTION("IF(Account!$F633&lt;&gt;"""", VALUE(REGEXREPLACE($I633, ""\,"", ""."")), """")"),"")</f>
        <v/>
      </c>
      <c r="O633" s="33" t="str">
        <f>IF(Account!$F633&lt;&gt;"", DATEVALUE(MID($A633,4,3) &amp; LEFT($A633,3) &amp; RIGHT($A633,4)) + TIMEVALUE($B633), "")</f>
        <v/>
      </c>
      <c r="P633" s="34" t="str">
        <f>IF(Account!$F633&lt;&gt;"", DATEVALUE(MID($C633,4,3) &amp; LEFT($C633,3) &amp; RIGHT($C633,4)), "")</f>
        <v/>
      </c>
      <c r="Q633" s="35" t="str">
        <f t="array" ref="Q633">IF($R633&lt;&gt;"",IFERROR(INDEX(ISIN!$B:$B,MATCH($R633,ISIN!$C:$C,0))),)</f>
        <v/>
      </c>
      <c r="R633" s="36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5" t="str">
        <f t="shared" si="1"/>
        <v/>
      </c>
      <c r="T633" s="37" t="str">
        <f t="shared" si="2"/>
        <v/>
      </c>
      <c r="U633" s="38" t="str">
        <f t="shared" si="3"/>
        <v/>
      </c>
      <c r="V633" s="32" t="str">
        <f t="shared" si="4"/>
        <v/>
      </c>
      <c r="W633" s="39" t="str">
        <f>IFERROR(__xludf.DUMMYFUNCTION(" IF(Account!$F633&lt;&gt;"""", SPLIT(Account!$F633, "" ""), """")"),"")</f>
        <v/>
      </c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</row>
    <row r="634">
      <c r="A634" s="12"/>
      <c r="B634" s="12"/>
      <c r="C634" s="12"/>
      <c r="D634" s="12"/>
      <c r="E634" s="12"/>
      <c r="F634" s="13"/>
      <c r="G634" s="291"/>
      <c r="H634" s="12"/>
      <c r="I634" s="12"/>
      <c r="J634" s="12"/>
      <c r="K634" s="12"/>
      <c r="L634" s="13"/>
      <c r="M634" s="30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2" t="str">
        <f>IFERROR(__xludf.DUMMYFUNCTION("IF(Account!$F634&lt;&gt;"""", VALUE(REGEXREPLACE($I634, ""\,"", ""."")), """")"),"")</f>
        <v/>
      </c>
      <c r="O634" s="33" t="str">
        <f>IF(Account!$F634&lt;&gt;"", DATEVALUE(MID($A634,4,3) &amp; LEFT($A634,3) &amp; RIGHT($A634,4)) + TIMEVALUE($B634), "")</f>
        <v/>
      </c>
      <c r="P634" s="34" t="str">
        <f>IF(Account!$F634&lt;&gt;"", DATEVALUE(MID($C634,4,3) &amp; LEFT($C634,3) &amp; RIGHT($C634,4)), "")</f>
        <v/>
      </c>
      <c r="Q634" s="35" t="str">
        <f t="array" ref="Q634">IF($R634&lt;&gt;"",IFERROR(INDEX(ISIN!$B:$B,MATCH($R634,ISIN!$C:$C,0))),)</f>
        <v/>
      </c>
      <c r="R634" s="36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5" t="str">
        <f t="shared" si="1"/>
        <v/>
      </c>
      <c r="T634" s="37" t="str">
        <f t="shared" si="2"/>
        <v/>
      </c>
      <c r="U634" s="38" t="str">
        <f t="shared" si="3"/>
        <v/>
      </c>
      <c r="V634" s="32" t="str">
        <f t="shared" si="4"/>
        <v/>
      </c>
      <c r="W634" s="39" t="str">
        <f>IFERROR(__xludf.DUMMYFUNCTION(" IF(Account!$F634&lt;&gt;"""", SPLIT(Account!$F634, "" ""), """")"),"")</f>
        <v/>
      </c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</row>
    <row r="635">
      <c r="A635" s="12"/>
      <c r="B635" s="12"/>
      <c r="C635" s="12"/>
      <c r="D635" s="12"/>
      <c r="E635" s="12"/>
      <c r="F635" s="13"/>
      <c r="G635" s="291"/>
      <c r="H635" s="12"/>
      <c r="I635" s="12"/>
      <c r="J635" s="12"/>
      <c r="K635" s="12"/>
      <c r="L635" s="13"/>
      <c r="M635" s="30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2" t="str">
        <f>IFERROR(__xludf.DUMMYFUNCTION("IF(Account!$F635&lt;&gt;"""", VALUE(REGEXREPLACE($I635, ""\,"", ""."")), """")"),"")</f>
        <v/>
      </c>
      <c r="O635" s="33" t="str">
        <f>IF(Account!$F635&lt;&gt;"", DATEVALUE(MID($A635,4,3) &amp; LEFT($A635,3) &amp; RIGHT($A635,4)) + TIMEVALUE($B635), "")</f>
        <v/>
      </c>
      <c r="P635" s="34" t="str">
        <f>IF(Account!$F635&lt;&gt;"", DATEVALUE(MID($C635,4,3) &amp; LEFT($C635,3) &amp; RIGHT($C635,4)), "")</f>
        <v/>
      </c>
      <c r="Q635" s="35" t="str">
        <f t="array" ref="Q635">IF($R635&lt;&gt;"",IFERROR(INDEX(ISIN!$B:$B,MATCH($R635,ISIN!$C:$C,0))),)</f>
        <v/>
      </c>
      <c r="R635" s="36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5" t="str">
        <f t="shared" si="1"/>
        <v/>
      </c>
      <c r="T635" s="37" t="str">
        <f t="shared" si="2"/>
        <v/>
      </c>
      <c r="U635" s="38" t="str">
        <f t="shared" si="3"/>
        <v/>
      </c>
      <c r="V635" s="32" t="str">
        <f t="shared" si="4"/>
        <v/>
      </c>
      <c r="W635" s="39" t="str">
        <f>IFERROR(__xludf.DUMMYFUNCTION(" IF(Account!$F635&lt;&gt;"""", SPLIT(Account!$F635, "" ""), """")"),"")</f>
        <v/>
      </c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</row>
    <row r="636">
      <c r="A636" s="12"/>
      <c r="B636" s="12"/>
      <c r="C636" s="12"/>
      <c r="D636" s="12"/>
      <c r="E636" s="12"/>
      <c r="F636" s="13"/>
      <c r="G636" s="12"/>
      <c r="H636" s="12"/>
      <c r="I636" s="12"/>
      <c r="J636" s="12"/>
      <c r="K636" s="12"/>
      <c r="L636" s="13"/>
      <c r="M636" s="30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2" t="str">
        <f>IFERROR(__xludf.DUMMYFUNCTION("IF(Account!$F636&lt;&gt;"""", VALUE(REGEXREPLACE($I636, ""\,"", ""."")), """")"),"")</f>
        <v/>
      </c>
      <c r="O636" s="33" t="str">
        <f>IF(Account!$F636&lt;&gt;"", DATEVALUE(MID($A636,4,3) &amp; LEFT($A636,3) &amp; RIGHT($A636,4)) + TIMEVALUE($B636), "")</f>
        <v/>
      </c>
      <c r="P636" s="34" t="str">
        <f>IF(Account!$F636&lt;&gt;"", DATEVALUE(MID($C636,4,3) &amp; LEFT($C636,3) &amp; RIGHT($C636,4)), "")</f>
        <v/>
      </c>
      <c r="Q636" s="35" t="str">
        <f t="array" ref="Q636">IF($R636&lt;&gt;"",IFERROR(INDEX(ISIN!$B:$B,MATCH($R636,ISIN!$C:$C,0))),)</f>
        <v/>
      </c>
      <c r="R636" s="36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5" t="str">
        <f t="shared" si="1"/>
        <v/>
      </c>
      <c r="T636" s="37" t="str">
        <f t="shared" si="2"/>
        <v/>
      </c>
      <c r="U636" s="38" t="str">
        <f t="shared" si="3"/>
        <v/>
      </c>
      <c r="V636" s="32" t="str">
        <f t="shared" si="4"/>
        <v/>
      </c>
      <c r="W636" s="39" t="str">
        <f>IFERROR(__xludf.DUMMYFUNCTION(" IF(Account!$F636&lt;&gt;"""", SPLIT(Account!$F636, "" ""), """")"),"")</f>
        <v/>
      </c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</row>
    <row r="637">
      <c r="A637" s="12"/>
      <c r="B637" s="12"/>
      <c r="C637" s="12"/>
      <c r="D637" s="12"/>
      <c r="E637" s="12"/>
      <c r="F637" s="13"/>
      <c r="G637" s="291"/>
      <c r="H637" s="12"/>
      <c r="I637" s="12"/>
      <c r="J637" s="12"/>
      <c r="K637" s="12"/>
      <c r="L637" s="13"/>
      <c r="M637" s="30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2" t="str">
        <f>IFERROR(__xludf.DUMMYFUNCTION("IF(Account!$F637&lt;&gt;"""", VALUE(REGEXREPLACE($I637, ""\,"", ""."")), """")"),"")</f>
        <v/>
      </c>
      <c r="O637" s="33" t="str">
        <f>IF(Account!$F637&lt;&gt;"", DATEVALUE(MID($A637,4,3) &amp; LEFT($A637,3) &amp; RIGHT($A637,4)) + TIMEVALUE($B637), "")</f>
        <v/>
      </c>
      <c r="P637" s="34" t="str">
        <f>IF(Account!$F637&lt;&gt;"", DATEVALUE(MID($C637,4,3) &amp; LEFT($C637,3) &amp; RIGHT($C637,4)), "")</f>
        <v/>
      </c>
      <c r="Q637" s="35" t="str">
        <f t="array" ref="Q637">IF($R637&lt;&gt;"",IFERROR(INDEX(ISIN!$B:$B,MATCH($R637,ISIN!$C:$C,0))),)</f>
        <v/>
      </c>
      <c r="R637" s="36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5" t="str">
        <f t="shared" si="1"/>
        <v/>
      </c>
      <c r="T637" s="37" t="str">
        <f t="shared" si="2"/>
        <v/>
      </c>
      <c r="U637" s="38" t="str">
        <f t="shared" si="3"/>
        <v/>
      </c>
      <c r="V637" s="32" t="str">
        <f t="shared" si="4"/>
        <v/>
      </c>
      <c r="W637" s="39" t="str">
        <f>IFERROR(__xludf.DUMMYFUNCTION(" IF(Account!$F637&lt;&gt;"""", SPLIT(Account!$F637, "" ""), """")"),"")</f>
        <v/>
      </c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</row>
    <row r="638">
      <c r="A638" s="12"/>
      <c r="B638" s="12"/>
      <c r="C638" s="12"/>
      <c r="D638" s="12"/>
      <c r="E638" s="12"/>
      <c r="F638" s="13"/>
      <c r="G638" s="12"/>
      <c r="H638" s="12"/>
      <c r="I638" s="12"/>
      <c r="J638" s="12"/>
      <c r="K638" s="12"/>
      <c r="L638" s="13"/>
      <c r="M638" s="30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2" t="str">
        <f>IFERROR(__xludf.DUMMYFUNCTION("IF(Account!$F638&lt;&gt;"""", VALUE(REGEXREPLACE($I638, ""\,"", ""."")), """")"),"")</f>
        <v/>
      </c>
      <c r="O638" s="33" t="str">
        <f>IF(Account!$F638&lt;&gt;"", DATEVALUE(MID($A638,4,3) &amp; LEFT($A638,3) &amp; RIGHT($A638,4)) + TIMEVALUE($B638), "")</f>
        <v/>
      </c>
      <c r="P638" s="34" t="str">
        <f>IF(Account!$F638&lt;&gt;"", DATEVALUE(MID($C638,4,3) &amp; LEFT($C638,3) &amp; RIGHT($C638,4)), "")</f>
        <v/>
      </c>
      <c r="Q638" s="35" t="str">
        <f t="array" ref="Q638">IF($R638&lt;&gt;"",IFERROR(INDEX(ISIN!$B:$B,MATCH($R638,ISIN!$C:$C,0))),)</f>
        <v/>
      </c>
      <c r="R638" s="36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5" t="str">
        <f t="shared" si="1"/>
        <v/>
      </c>
      <c r="T638" s="37" t="str">
        <f t="shared" si="2"/>
        <v/>
      </c>
      <c r="U638" s="38" t="str">
        <f t="shared" si="3"/>
        <v/>
      </c>
      <c r="V638" s="32" t="str">
        <f t="shared" si="4"/>
        <v/>
      </c>
      <c r="W638" s="39" t="str">
        <f>IFERROR(__xludf.DUMMYFUNCTION(" IF(Account!$F638&lt;&gt;"""", SPLIT(Account!$F638, "" ""), """")"),"")</f>
        <v/>
      </c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</row>
    <row r="639">
      <c r="A639" s="12"/>
      <c r="B639" s="12"/>
      <c r="C639" s="12"/>
      <c r="D639" s="12"/>
      <c r="E639" s="12"/>
      <c r="F639" s="13"/>
      <c r="G639" s="291"/>
      <c r="H639" s="12"/>
      <c r="I639" s="12"/>
      <c r="J639" s="12"/>
      <c r="K639" s="12"/>
      <c r="L639" s="13"/>
      <c r="M639" s="30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2" t="str">
        <f>IFERROR(__xludf.DUMMYFUNCTION("IF(Account!$F639&lt;&gt;"""", VALUE(REGEXREPLACE($I639, ""\,"", ""."")), """")"),"")</f>
        <v/>
      </c>
      <c r="O639" s="33" t="str">
        <f>IF(Account!$F639&lt;&gt;"", DATEVALUE(MID($A639,4,3) &amp; LEFT($A639,3) &amp; RIGHT($A639,4)) + TIMEVALUE($B639), "")</f>
        <v/>
      </c>
      <c r="P639" s="34" t="str">
        <f>IF(Account!$F639&lt;&gt;"", DATEVALUE(MID($C639,4,3) &amp; LEFT($C639,3) &amp; RIGHT($C639,4)), "")</f>
        <v/>
      </c>
      <c r="Q639" s="35" t="str">
        <f t="array" ref="Q639">IF($R639&lt;&gt;"",IFERROR(INDEX(ISIN!$B:$B,MATCH($R639,ISIN!$C:$C,0))),)</f>
        <v/>
      </c>
      <c r="R639" s="36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5" t="str">
        <f t="shared" si="1"/>
        <v/>
      </c>
      <c r="T639" s="37" t="str">
        <f t="shared" si="2"/>
        <v/>
      </c>
      <c r="U639" s="38" t="str">
        <f t="shared" si="3"/>
        <v/>
      </c>
      <c r="V639" s="32" t="str">
        <f t="shared" si="4"/>
        <v/>
      </c>
      <c r="W639" s="39" t="str">
        <f>IFERROR(__xludf.DUMMYFUNCTION(" IF(Account!$F639&lt;&gt;"""", SPLIT(Account!$F639, "" ""), """")"),"")</f>
        <v/>
      </c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</row>
    <row r="640">
      <c r="A640" s="12"/>
      <c r="B640" s="12"/>
      <c r="C640" s="12"/>
      <c r="D640" s="12"/>
      <c r="E640" s="12"/>
      <c r="F640" s="13"/>
      <c r="G640" s="12"/>
      <c r="H640" s="12"/>
      <c r="I640" s="12"/>
      <c r="J640" s="12"/>
      <c r="K640" s="12"/>
      <c r="L640" s="13"/>
      <c r="M640" s="30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2" t="str">
        <f>IFERROR(__xludf.DUMMYFUNCTION("IF(Account!$F640&lt;&gt;"""", VALUE(REGEXREPLACE($I640, ""\,"", ""."")), """")"),"")</f>
        <v/>
      </c>
      <c r="O640" s="33" t="str">
        <f>IF(Account!$F640&lt;&gt;"", DATEVALUE(MID($A640,4,3) &amp; LEFT($A640,3) &amp; RIGHT($A640,4)) + TIMEVALUE($B640), "")</f>
        <v/>
      </c>
      <c r="P640" s="34" t="str">
        <f>IF(Account!$F640&lt;&gt;"", DATEVALUE(MID($C640,4,3) &amp; LEFT($C640,3) &amp; RIGHT($C640,4)), "")</f>
        <v/>
      </c>
      <c r="Q640" s="35" t="str">
        <f t="array" ref="Q640">IF($R640&lt;&gt;"",IFERROR(INDEX(ISIN!$B:$B,MATCH($R640,ISIN!$C:$C,0))),)</f>
        <v/>
      </c>
      <c r="R640" s="36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5" t="str">
        <f t="shared" si="1"/>
        <v/>
      </c>
      <c r="T640" s="37" t="str">
        <f t="shared" si="2"/>
        <v/>
      </c>
      <c r="U640" s="38" t="str">
        <f t="shared" si="3"/>
        <v/>
      </c>
      <c r="V640" s="32" t="str">
        <f t="shared" si="4"/>
        <v/>
      </c>
      <c r="W640" s="39" t="str">
        <f>IFERROR(__xludf.DUMMYFUNCTION(" IF(Account!$F640&lt;&gt;"""", SPLIT(Account!$F640, "" ""), """")"),"")</f>
        <v/>
      </c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</row>
    <row r="641">
      <c r="A641" s="12"/>
      <c r="B641" s="12"/>
      <c r="C641" s="12"/>
      <c r="D641" s="12"/>
      <c r="E641" s="12"/>
      <c r="F641" s="13"/>
      <c r="G641" s="291"/>
      <c r="H641" s="12"/>
      <c r="I641" s="12"/>
      <c r="J641" s="12"/>
      <c r="K641" s="12"/>
      <c r="L641" s="13"/>
      <c r="M641" s="30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2" t="str">
        <f>IFERROR(__xludf.DUMMYFUNCTION("IF(Account!$F641&lt;&gt;"""", VALUE(REGEXREPLACE($I641, ""\,"", ""."")), """")"),"")</f>
        <v/>
      </c>
      <c r="O641" s="33" t="str">
        <f>IF(Account!$F641&lt;&gt;"", DATEVALUE(MID($A641,4,3) &amp; LEFT($A641,3) &amp; RIGHT($A641,4)) + TIMEVALUE($B641), "")</f>
        <v/>
      </c>
      <c r="P641" s="34" t="str">
        <f>IF(Account!$F641&lt;&gt;"", DATEVALUE(MID($C641,4,3) &amp; LEFT($C641,3) &amp; RIGHT($C641,4)), "")</f>
        <v/>
      </c>
      <c r="Q641" s="35" t="str">
        <f t="array" ref="Q641">IF($R641&lt;&gt;"",IFERROR(INDEX(ISIN!$B:$B,MATCH($R641,ISIN!$C:$C,0))),)</f>
        <v/>
      </c>
      <c r="R641" s="36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5" t="str">
        <f t="shared" si="1"/>
        <v/>
      </c>
      <c r="T641" s="37" t="str">
        <f t="shared" si="2"/>
        <v/>
      </c>
      <c r="U641" s="38" t="str">
        <f t="shared" si="3"/>
        <v/>
      </c>
      <c r="V641" s="32" t="str">
        <f t="shared" si="4"/>
        <v/>
      </c>
      <c r="W641" s="39" t="str">
        <f>IFERROR(__xludf.DUMMYFUNCTION(" IF(Account!$F641&lt;&gt;"""", SPLIT(Account!$F641, "" ""), """")"),"")</f>
        <v/>
      </c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</row>
    <row r="642">
      <c r="A642" s="12"/>
      <c r="B642" s="12"/>
      <c r="C642" s="12"/>
      <c r="D642" s="12"/>
      <c r="E642" s="12"/>
      <c r="F642" s="13"/>
      <c r="G642" s="12"/>
      <c r="H642" s="12"/>
      <c r="I642" s="12"/>
      <c r="J642" s="12"/>
      <c r="K642" s="12"/>
      <c r="L642" s="13"/>
      <c r="M642" s="30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2" t="str">
        <f>IFERROR(__xludf.DUMMYFUNCTION("IF(Account!$F642&lt;&gt;"""", VALUE(REGEXREPLACE($I642, ""\,"", ""."")), """")"),"")</f>
        <v/>
      </c>
      <c r="O642" s="33" t="str">
        <f>IF(Account!$F642&lt;&gt;"", DATEVALUE(MID($A642,4,3) &amp; LEFT($A642,3) &amp; RIGHT($A642,4)) + TIMEVALUE($B642), "")</f>
        <v/>
      </c>
      <c r="P642" s="34" t="str">
        <f>IF(Account!$F642&lt;&gt;"", DATEVALUE(MID($C642,4,3) &amp; LEFT($C642,3) &amp; RIGHT($C642,4)), "")</f>
        <v/>
      </c>
      <c r="Q642" s="35" t="str">
        <f t="array" ref="Q642">IF($R642&lt;&gt;"",IFERROR(INDEX(ISIN!$B:$B,MATCH($R642,ISIN!$C:$C,0))),)</f>
        <v/>
      </c>
      <c r="R642" s="36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5" t="str">
        <f t="shared" si="1"/>
        <v/>
      </c>
      <c r="T642" s="37" t="str">
        <f t="shared" si="2"/>
        <v/>
      </c>
      <c r="U642" s="38" t="str">
        <f t="shared" si="3"/>
        <v/>
      </c>
      <c r="V642" s="32" t="str">
        <f t="shared" si="4"/>
        <v/>
      </c>
      <c r="W642" s="39" t="str">
        <f>IFERROR(__xludf.DUMMYFUNCTION(" IF(Account!$F642&lt;&gt;"""", SPLIT(Account!$F642, "" ""), """")"),"")</f>
        <v/>
      </c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</row>
    <row r="643">
      <c r="A643" s="12"/>
      <c r="B643" s="12"/>
      <c r="C643" s="12"/>
      <c r="D643" s="12"/>
      <c r="E643" s="12"/>
      <c r="F643" s="13"/>
      <c r="G643" s="291"/>
      <c r="H643" s="12"/>
      <c r="I643" s="12"/>
      <c r="J643" s="12"/>
      <c r="K643" s="12"/>
      <c r="L643" s="13"/>
      <c r="M643" s="30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2" t="str">
        <f>IFERROR(__xludf.DUMMYFUNCTION("IF(Account!$F643&lt;&gt;"""", VALUE(REGEXREPLACE($I643, ""\,"", ""."")), """")"),"")</f>
        <v/>
      </c>
      <c r="O643" s="33" t="str">
        <f>IF(Account!$F643&lt;&gt;"", DATEVALUE(MID($A643,4,3) &amp; LEFT($A643,3) &amp; RIGHT($A643,4)) + TIMEVALUE($B643), "")</f>
        <v/>
      </c>
      <c r="P643" s="34" t="str">
        <f>IF(Account!$F643&lt;&gt;"", DATEVALUE(MID($C643,4,3) &amp; LEFT($C643,3) &amp; RIGHT($C643,4)), "")</f>
        <v/>
      </c>
      <c r="Q643" s="35" t="str">
        <f t="array" ref="Q643">IF($R643&lt;&gt;"",IFERROR(INDEX(ISIN!$B:$B,MATCH($R643,ISIN!$C:$C,0))),)</f>
        <v/>
      </c>
      <c r="R643" s="36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5" t="str">
        <f t="shared" si="1"/>
        <v/>
      </c>
      <c r="T643" s="37" t="str">
        <f t="shared" si="2"/>
        <v/>
      </c>
      <c r="U643" s="38" t="str">
        <f t="shared" si="3"/>
        <v/>
      </c>
      <c r="V643" s="32" t="str">
        <f t="shared" si="4"/>
        <v/>
      </c>
      <c r="W643" s="39" t="str">
        <f>IFERROR(__xludf.DUMMYFUNCTION(" IF(Account!$F643&lt;&gt;"""", SPLIT(Account!$F643, "" ""), """")"),"")</f>
        <v/>
      </c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</row>
    <row r="644">
      <c r="A644" s="12"/>
      <c r="B644" s="12"/>
      <c r="C644" s="12"/>
      <c r="D644" s="12"/>
      <c r="E644" s="12"/>
      <c r="F644" s="13"/>
      <c r="G644" s="291"/>
      <c r="H644" s="12"/>
      <c r="I644" s="12"/>
      <c r="J644" s="12"/>
      <c r="K644" s="12"/>
      <c r="L644" s="13"/>
      <c r="M644" s="30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2" t="str">
        <f>IFERROR(__xludf.DUMMYFUNCTION("IF(Account!$F644&lt;&gt;"""", VALUE(REGEXREPLACE($I644, ""\,"", ""."")), """")"),"")</f>
        <v/>
      </c>
      <c r="O644" s="33" t="str">
        <f>IF(Account!$F644&lt;&gt;"", DATEVALUE(MID($A644,4,3) &amp; LEFT($A644,3) &amp; RIGHT($A644,4)) + TIMEVALUE($B644), "")</f>
        <v/>
      </c>
      <c r="P644" s="34" t="str">
        <f>IF(Account!$F644&lt;&gt;"", DATEVALUE(MID($C644,4,3) &amp; LEFT($C644,3) &amp; RIGHT($C644,4)), "")</f>
        <v/>
      </c>
      <c r="Q644" s="35" t="str">
        <f t="array" ref="Q644">IF($R644&lt;&gt;"",IFERROR(INDEX(ISIN!$B:$B,MATCH($R644,ISIN!$C:$C,0))),)</f>
        <v/>
      </c>
      <c r="R644" s="36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5" t="str">
        <f t="shared" si="1"/>
        <v/>
      </c>
      <c r="T644" s="37" t="str">
        <f t="shared" si="2"/>
        <v/>
      </c>
      <c r="U644" s="38" t="str">
        <f t="shared" si="3"/>
        <v/>
      </c>
      <c r="V644" s="32" t="str">
        <f t="shared" si="4"/>
        <v/>
      </c>
      <c r="W644" s="39" t="str">
        <f>IFERROR(__xludf.DUMMYFUNCTION(" IF(Account!$F644&lt;&gt;"""", SPLIT(Account!$F644, "" ""), """")"),"")</f>
        <v/>
      </c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</row>
    <row r="645">
      <c r="A645" s="12"/>
      <c r="B645" s="12"/>
      <c r="C645" s="12"/>
      <c r="D645" s="12"/>
      <c r="E645" s="12"/>
      <c r="F645" s="13"/>
      <c r="G645" s="291"/>
      <c r="H645" s="12"/>
      <c r="I645" s="12"/>
      <c r="J645" s="12"/>
      <c r="K645" s="12"/>
      <c r="L645" s="13"/>
      <c r="M645" s="30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2" t="str">
        <f>IFERROR(__xludf.DUMMYFUNCTION("IF(Account!$F645&lt;&gt;"""", VALUE(REGEXREPLACE($I645, ""\,"", ""."")), """")"),"")</f>
        <v/>
      </c>
      <c r="O645" s="33" t="str">
        <f>IF(Account!$F645&lt;&gt;"", DATEVALUE(MID($A645,4,3) &amp; LEFT($A645,3) &amp; RIGHT($A645,4)) + TIMEVALUE($B645), "")</f>
        <v/>
      </c>
      <c r="P645" s="34" t="str">
        <f>IF(Account!$F645&lt;&gt;"", DATEVALUE(MID($C645,4,3) &amp; LEFT($C645,3) &amp; RIGHT($C645,4)), "")</f>
        <v/>
      </c>
      <c r="Q645" s="35" t="str">
        <f t="array" ref="Q645">IF($R645&lt;&gt;"",IFERROR(INDEX(ISIN!$B:$B,MATCH($R645,ISIN!$C:$C,0))),)</f>
        <v/>
      </c>
      <c r="R645" s="36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5" t="str">
        <f t="shared" si="1"/>
        <v/>
      </c>
      <c r="T645" s="37" t="str">
        <f t="shared" si="2"/>
        <v/>
      </c>
      <c r="U645" s="38" t="str">
        <f t="shared" si="3"/>
        <v/>
      </c>
      <c r="V645" s="32" t="str">
        <f t="shared" si="4"/>
        <v/>
      </c>
      <c r="W645" s="39" t="str">
        <f>IFERROR(__xludf.DUMMYFUNCTION(" IF(Account!$F645&lt;&gt;"""", SPLIT(Account!$F645, "" ""), """")"),"")</f>
        <v/>
      </c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</row>
    <row r="646">
      <c r="A646" s="12"/>
      <c r="B646" s="12"/>
      <c r="C646" s="12"/>
      <c r="D646" s="12"/>
      <c r="E646" s="12"/>
      <c r="F646" s="13"/>
      <c r="G646" s="291"/>
      <c r="H646" s="12"/>
      <c r="I646" s="12"/>
      <c r="J646" s="12"/>
      <c r="K646" s="12"/>
      <c r="L646" s="13"/>
      <c r="M646" s="30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2" t="str">
        <f>IFERROR(__xludf.DUMMYFUNCTION("IF(Account!$F646&lt;&gt;"""", VALUE(REGEXREPLACE($I646, ""\,"", ""."")), """")"),"")</f>
        <v/>
      </c>
      <c r="O646" s="33" t="str">
        <f>IF(Account!$F646&lt;&gt;"", DATEVALUE(MID($A646,4,3) &amp; LEFT($A646,3) &amp; RIGHT($A646,4)) + TIMEVALUE($B646), "")</f>
        <v/>
      </c>
      <c r="P646" s="34" t="str">
        <f>IF(Account!$F646&lt;&gt;"", DATEVALUE(MID($C646,4,3) &amp; LEFT($C646,3) &amp; RIGHT($C646,4)), "")</f>
        <v/>
      </c>
      <c r="Q646" s="35" t="str">
        <f t="array" ref="Q646">IF($R646&lt;&gt;"",IFERROR(INDEX(ISIN!$B:$B,MATCH($R646,ISIN!$C:$C,0))),)</f>
        <v/>
      </c>
      <c r="R646" s="36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5" t="str">
        <f t="shared" si="1"/>
        <v/>
      </c>
      <c r="T646" s="37" t="str">
        <f t="shared" si="2"/>
        <v/>
      </c>
      <c r="U646" s="38" t="str">
        <f t="shared" si="3"/>
        <v/>
      </c>
      <c r="V646" s="32" t="str">
        <f t="shared" si="4"/>
        <v/>
      </c>
      <c r="W646" s="39" t="str">
        <f>IFERROR(__xludf.DUMMYFUNCTION(" IF(Account!$F646&lt;&gt;"""", SPLIT(Account!$F646, "" ""), """")"),"")</f>
        <v/>
      </c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</row>
    <row r="647">
      <c r="A647" s="12"/>
      <c r="B647" s="12"/>
      <c r="C647" s="12"/>
      <c r="D647" s="12"/>
      <c r="E647" s="12"/>
      <c r="F647" s="13"/>
      <c r="G647" s="291"/>
      <c r="H647" s="12"/>
      <c r="I647" s="12"/>
      <c r="J647" s="12"/>
      <c r="K647" s="12"/>
      <c r="L647" s="13"/>
      <c r="M647" s="30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2" t="str">
        <f>IFERROR(__xludf.DUMMYFUNCTION("IF(Account!$F647&lt;&gt;"""", VALUE(REGEXREPLACE($I647, ""\,"", ""."")), """")"),"")</f>
        <v/>
      </c>
      <c r="O647" s="33" t="str">
        <f>IF(Account!$F647&lt;&gt;"", DATEVALUE(MID($A647,4,3) &amp; LEFT($A647,3) &amp; RIGHT($A647,4)) + TIMEVALUE($B647), "")</f>
        <v/>
      </c>
      <c r="P647" s="34" t="str">
        <f>IF(Account!$F647&lt;&gt;"", DATEVALUE(MID($C647,4,3) &amp; LEFT($C647,3) &amp; RIGHT($C647,4)), "")</f>
        <v/>
      </c>
      <c r="Q647" s="35" t="str">
        <f t="array" ref="Q647">IF($R647&lt;&gt;"",IFERROR(INDEX(ISIN!$B:$B,MATCH($R647,ISIN!$C:$C,0))),)</f>
        <v/>
      </c>
      <c r="R647" s="36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5" t="str">
        <f t="shared" si="1"/>
        <v/>
      </c>
      <c r="T647" s="37" t="str">
        <f t="shared" si="2"/>
        <v/>
      </c>
      <c r="U647" s="38" t="str">
        <f t="shared" si="3"/>
        <v/>
      </c>
      <c r="V647" s="32" t="str">
        <f t="shared" si="4"/>
        <v/>
      </c>
      <c r="W647" s="39" t="str">
        <f>IFERROR(__xludf.DUMMYFUNCTION(" IF(Account!$F647&lt;&gt;"""", SPLIT(Account!$F647, "" ""), """")"),"")</f>
        <v/>
      </c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</row>
    <row r="648">
      <c r="A648" s="12"/>
      <c r="B648" s="12"/>
      <c r="C648" s="12"/>
      <c r="D648" s="291"/>
      <c r="E648" s="291"/>
      <c r="F648" s="13"/>
      <c r="G648" s="291"/>
      <c r="H648" s="12"/>
      <c r="I648" s="12"/>
      <c r="J648" s="12"/>
      <c r="K648" s="12"/>
      <c r="L648" s="335"/>
      <c r="M648" s="30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2" t="str">
        <f>IFERROR(__xludf.DUMMYFUNCTION("IF(Account!$F648&lt;&gt;"""", VALUE(REGEXREPLACE($I648, ""\,"", ""."")), """")"),"")</f>
        <v/>
      </c>
      <c r="O648" s="33" t="str">
        <f>IF(Account!$F648&lt;&gt;"", DATEVALUE(MID($A648,4,3) &amp; LEFT($A648,3) &amp; RIGHT($A648,4)) + TIMEVALUE($B648), "")</f>
        <v/>
      </c>
      <c r="P648" s="34" t="str">
        <f>IF(Account!$F648&lt;&gt;"", DATEVALUE(MID($C648,4,3) &amp; LEFT($C648,3) &amp; RIGHT($C648,4)), "")</f>
        <v/>
      </c>
      <c r="Q648" s="35" t="str">
        <f t="array" ref="Q648">IF($R648&lt;&gt;"",IFERROR(INDEX(ISIN!$B:$B,MATCH($R648,ISIN!$C:$C,0))),)</f>
        <v/>
      </c>
      <c r="R648" s="36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5" t="str">
        <f t="shared" si="1"/>
        <v/>
      </c>
      <c r="T648" s="37" t="str">
        <f t="shared" si="2"/>
        <v/>
      </c>
      <c r="U648" s="38" t="str">
        <f t="shared" si="3"/>
        <v/>
      </c>
      <c r="V648" s="32" t="str">
        <f t="shared" si="4"/>
        <v/>
      </c>
      <c r="W648" s="39" t="str">
        <f>IFERROR(__xludf.DUMMYFUNCTION(" IF(Account!$F648&lt;&gt;"""", SPLIT(Account!$F648, "" ""), """")"),"")</f>
        <v/>
      </c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</row>
    <row r="649">
      <c r="A649" s="12"/>
      <c r="B649" s="12"/>
      <c r="C649" s="12"/>
      <c r="D649" s="12"/>
      <c r="E649" s="12"/>
      <c r="F649" s="13"/>
      <c r="G649" s="291"/>
      <c r="H649" s="12"/>
      <c r="I649" s="12"/>
      <c r="J649" s="12"/>
      <c r="K649" s="12"/>
      <c r="L649" s="13"/>
      <c r="M649" s="30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2" t="str">
        <f>IFERROR(__xludf.DUMMYFUNCTION("IF(Account!$F649&lt;&gt;"""", VALUE(REGEXREPLACE($I649, ""\,"", ""."")), """")"),"")</f>
        <v/>
      </c>
      <c r="O649" s="33" t="str">
        <f>IF(Account!$F649&lt;&gt;"", DATEVALUE(MID($A649,4,3) &amp; LEFT($A649,3) &amp; RIGHT($A649,4)) + TIMEVALUE($B649), "")</f>
        <v/>
      </c>
      <c r="P649" s="34" t="str">
        <f>IF(Account!$F649&lt;&gt;"", DATEVALUE(MID($C649,4,3) &amp; LEFT($C649,3) &amp; RIGHT($C649,4)), "")</f>
        <v/>
      </c>
      <c r="Q649" s="35" t="str">
        <f t="array" ref="Q649">IF($R649&lt;&gt;"",IFERROR(INDEX(ISIN!$B:$B,MATCH($R649,ISIN!$C:$C,0))),)</f>
        <v/>
      </c>
      <c r="R649" s="36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5" t="str">
        <f t="shared" si="1"/>
        <v/>
      </c>
      <c r="T649" s="37" t="str">
        <f t="shared" si="2"/>
        <v/>
      </c>
      <c r="U649" s="38" t="str">
        <f t="shared" si="3"/>
        <v/>
      </c>
      <c r="V649" s="32" t="str">
        <f t="shared" si="4"/>
        <v/>
      </c>
      <c r="W649" s="39" t="str">
        <f>IFERROR(__xludf.DUMMYFUNCTION(" IF(Account!$F649&lt;&gt;"""", SPLIT(Account!$F649, "" ""), """")"),"")</f>
        <v/>
      </c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</row>
    <row r="650">
      <c r="A650" s="12"/>
      <c r="B650" s="12"/>
      <c r="C650" s="12"/>
      <c r="D650" s="12"/>
      <c r="E650" s="12"/>
      <c r="F650" s="13"/>
      <c r="G650" s="12"/>
      <c r="H650" s="12"/>
      <c r="I650" s="12"/>
      <c r="J650" s="12"/>
      <c r="K650" s="12"/>
      <c r="L650" s="13"/>
      <c r="M650" s="30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2" t="str">
        <f>IFERROR(__xludf.DUMMYFUNCTION("IF(Account!$F650&lt;&gt;"""", VALUE(REGEXREPLACE($I650, ""\,"", ""."")), """")"),"")</f>
        <v/>
      </c>
      <c r="O650" s="33" t="str">
        <f>IF(Account!$F650&lt;&gt;"", DATEVALUE(MID($A650,4,3) &amp; LEFT($A650,3) &amp; RIGHT($A650,4)) + TIMEVALUE($B650), "")</f>
        <v/>
      </c>
      <c r="P650" s="34" t="str">
        <f>IF(Account!$F650&lt;&gt;"", DATEVALUE(MID($C650,4,3) &amp; LEFT($C650,3) &amp; RIGHT($C650,4)), "")</f>
        <v/>
      </c>
      <c r="Q650" s="35" t="str">
        <f t="array" ref="Q650">IF($R650&lt;&gt;"",IFERROR(INDEX(ISIN!$B:$B,MATCH($R650,ISIN!$C:$C,0))),)</f>
        <v/>
      </c>
      <c r="R650" s="36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5" t="str">
        <f t="shared" si="1"/>
        <v/>
      </c>
      <c r="T650" s="37" t="str">
        <f t="shared" si="2"/>
        <v/>
      </c>
      <c r="U650" s="38" t="str">
        <f t="shared" si="3"/>
        <v/>
      </c>
      <c r="V650" s="32" t="str">
        <f t="shared" si="4"/>
        <v/>
      </c>
      <c r="W650" s="39" t="str">
        <f>IFERROR(__xludf.DUMMYFUNCTION(" IF(Account!$F650&lt;&gt;"""", SPLIT(Account!$F650, "" ""), """")"),"")</f>
        <v/>
      </c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</row>
    <row r="651">
      <c r="A651" s="12"/>
      <c r="B651" s="12"/>
      <c r="C651" s="12"/>
      <c r="D651" s="12"/>
      <c r="E651" s="12"/>
      <c r="F651" s="13"/>
      <c r="G651" s="291"/>
      <c r="H651" s="12"/>
      <c r="I651" s="12"/>
      <c r="J651" s="12"/>
      <c r="K651" s="12"/>
      <c r="L651" s="13"/>
      <c r="M651" s="30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2" t="str">
        <f>IFERROR(__xludf.DUMMYFUNCTION("IF(Account!$F651&lt;&gt;"""", VALUE(REGEXREPLACE($I651, ""\,"", ""."")), """")"),"")</f>
        <v/>
      </c>
      <c r="O651" s="33" t="str">
        <f>IF(Account!$F651&lt;&gt;"", DATEVALUE(MID($A651,4,3) &amp; LEFT($A651,3) &amp; RIGHT($A651,4)) + TIMEVALUE($B651), "")</f>
        <v/>
      </c>
      <c r="P651" s="34" t="str">
        <f>IF(Account!$F651&lt;&gt;"", DATEVALUE(MID($C651,4,3) &amp; LEFT($C651,3) &amp; RIGHT($C651,4)), "")</f>
        <v/>
      </c>
      <c r="Q651" s="35" t="str">
        <f t="array" ref="Q651">IF($R651&lt;&gt;"",IFERROR(INDEX(ISIN!$B:$B,MATCH($R651,ISIN!$C:$C,0))),)</f>
        <v/>
      </c>
      <c r="R651" s="36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5" t="str">
        <f t="shared" si="1"/>
        <v/>
      </c>
      <c r="T651" s="37" t="str">
        <f t="shared" si="2"/>
        <v/>
      </c>
      <c r="U651" s="38" t="str">
        <f t="shared" si="3"/>
        <v/>
      </c>
      <c r="V651" s="32" t="str">
        <f t="shared" si="4"/>
        <v/>
      </c>
      <c r="W651" s="39" t="str">
        <f>IFERROR(__xludf.DUMMYFUNCTION(" IF(Account!$F651&lt;&gt;"""", SPLIT(Account!$F651, "" ""), """")"),"")</f>
        <v/>
      </c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</row>
    <row r="652">
      <c r="A652" s="12"/>
      <c r="B652" s="12"/>
      <c r="C652" s="12"/>
      <c r="D652" s="12"/>
      <c r="E652" s="12"/>
      <c r="F652" s="13"/>
      <c r="G652" s="291"/>
      <c r="H652" s="12"/>
      <c r="I652" s="12"/>
      <c r="J652" s="12"/>
      <c r="K652" s="12"/>
      <c r="L652" s="13"/>
      <c r="M652" s="30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2" t="str">
        <f>IFERROR(__xludf.DUMMYFUNCTION("IF(Account!$F652&lt;&gt;"""", VALUE(REGEXREPLACE($I652, ""\,"", ""."")), """")"),"")</f>
        <v/>
      </c>
      <c r="O652" s="33" t="str">
        <f>IF(Account!$F652&lt;&gt;"", DATEVALUE(MID($A652,4,3) &amp; LEFT($A652,3) &amp; RIGHT($A652,4)) + TIMEVALUE($B652), "")</f>
        <v/>
      </c>
      <c r="P652" s="34" t="str">
        <f>IF(Account!$F652&lt;&gt;"", DATEVALUE(MID($C652,4,3) &amp; LEFT($C652,3) &amp; RIGHT($C652,4)), "")</f>
        <v/>
      </c>
      <c r="Q652" s="35" t="str">
        <f t="array" ref="Q652">IF($R652&lt;&gt;"",IFERROR(INDEX(ISIN!$B:$B,MATCH($R652,ISIN!$C:$C,0))),)</f>
        <v/>
      </c>
      <c r="R652" s="36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5" t="str">
        <f t="shared" si="1"/>
        <v/>
      </c>
      <c r="T652" s="37" t="str">
        <f t="shared" si="2"/>
        <v/>
      </c>
      <c r="U652" s="38" t="str">
        <f t="shared" si="3"/>
        <v/>
      </c>
      <c r="V652" s="32" t="str">
        <f t="shared" si="4"/>
        <v/>
      </c>
      <c r="W652" s="39" t="str">
        <f>IFERROR(__xludf.DUMMYFUNCTION(" IF(Account!$F652&lt;&gt;"""", SPLIT(Account!$F652, "" ""), """")"),"")</f>
        <v/>
      </c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</row>
    <row r="653">
      <c r="A653" s="12"/>
      <c r="B653" s="12"/>
      <c r="C653" s="12"/>
      <c r="D653" s="12"/>
      <c r="E653" s="12"/>
      <c r="F653" s="13"/>
      <c r="G653" s="12"/>
      <c r="H653" s="12"/>
      <c r="I653" s="12"/>
      <c r="J653" s="12"/>
      <c r="K653" s="12"/>
      <c r="L653" s="13"/>
      <c r="M653" s="30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2" t="str">
        <f>IFERROR(__xludf.DUMMYFUNCTION("IF(Account!$F653&lt;&gt;"""", VALUE(REGEXREPLACE($I653, ""\,"", ""."")), """")"),"")</f>
        <v/>
      </c>
      <c r="O653" s="33" t="str">
        <f>IF(Account!$F653&lt;&gt;"", DATEVALUE(MID($A653,4,3) &amp; LEFT($A653,3) &amp; RIGHT($A653,4)) + TIMEVALUE($B653), "")</f>
        <v/>
      </c>
      <c r="P653" s="34" t="str">
        <f>IF(Account!$F653&lt;&gt;"", DATEVALUE(MID($C653,4,3) &amp; LEFT($C653,3) &amp; RIGHT($C653,4)), "")</f>
        <v/>
      </c>
      <c r="Q653" s="35" t="str">
        <f t="array" ref="Q653">IF($R653&lt;&gt;"",IFERROR(INDEX(ISIN!$B:$B,MATCH($R653,ISIN!$C:$C,0))),)</f>
        <v/>
      </c>
      <c r="R653" s="36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5" t="str">
        <f t="shared" si="1"/>
        <v/>
      </c>
      <c r="T653" s="37" t="str">
        <f t="shared" si="2"/>
        <v/>
      </c>
      <c r="U653" s="38" t="str">
        <f t="shared" si="3"/>
        <v/>
      </c>
      <c r="V653" s="32" t="str">
        <f t="shared" si="4"/>
        <v/>
      </c>
      <c r="W653" s="39" t="str">
        <f>IFERROR(__xludf.DUMMYFUNCTION(" IF(Account!$F653&lt;&gt;"""", SPLIT(Account!$F653, "" ""), """")"),"")</f>
        <v/>
      </c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</row>
    <row r="654">
      <c r="A654" s="12"/>
      <c r="B654" s="12"/>
      <c r="C654" s="12"/>
      <c r="D654" s="12"/>
      <c r="E654" s="12"/>
      <c r="F654" s="13"/>
      <c r="G654" s="291"/>
      <c r="H654" s="12"/>
      <c r="I654" s="12"/>
      <c r="J654" s="12"/>
      <c r="K654" s="12"/>
      <c r="L654" s="13"/>
      <c r="M654" s="30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2" t="str">
        <f>IFERROR(__xludf.DUMMYFUNCTION("IF(Account!$F654&lt;&gt;"""", VALUE(REGEXREPLACE($I654, ""\,"", ""."")), """")"),"")</f>
        <v/>
      </c>
      <c r="O654" s="33" t="str">
        <f>IF(Account!$F654&lt;&gt;"", DATEVALUE(MID($A654,4,3) &amp; LEFT($A654,3) &amp; RIGHT($A654,4)) + TIMEVALUE($B654), "")</f>
        <v/>
      </c>
      <c r="P654" s="34" t="str">
        <f>IF(Account!$F654&lt;&gt;"", DATEVALUE(MID($C654,4,3) &amp; LEFT($C654,3) &amp; RIGHT($C654,4)), "")</f>
        <v/>
      </c>
      <c r="Q654" s="35" t="str">
        <f t="array" ref="Q654">IF($R654&lt;&gt;"",IFERROR(INDEX(ISIN!$B:$B,MATCH($R654,ISIN!$C:$C,0))),)</f>
        <v/>
      </c>
      <c r="R654" s="36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5" t="str">
        <f t="shared" si="1"/>
        <v/>
      </c>
      <c r="T654" s="37" t="str">
        <f t="shared" si="2"/>
        <v/>
      </c>
      <c r="U654" s="38" t="str">
        <f t="shared" si="3"/>
        <v/>
      </c>
      <c r="V654" s="32" t="str">
        <f t="shared" si="4"/>
        <v/>
      </c>
      <c r="W654" s="39" t="str">
        <f>IFERROR(__xludf.DUMMYFUNCTION(" IF(Account!$F654&lt;&gt;"""", SPLIT(Account!$F654, "" ""), """")"),"")</f>
        <v/>
      </c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</row>
    <row r="655">
      <c r="A655" s="12"/>
      <c r="B655" s="12"/>
      <c r="C655" s="12"/>
      <c r="D655" s="12"/>
      <c r="E655" s="12"/>
      <c r="F655" s="13"/>
      <c r="G655" s="291"/>
      <c r="H655" s="12"/>
      <c r="I655" s="12"/>
      <c r="J655" s="12"/>
      <c r="K655" s="12"/>
      <c r="L655" s="13"/>
      <c r="M655" s="30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2" t="str">
        <f>IFERROR(__xludf.DUMMYFUNCTION("IF(Account!$F655&lt;&gt;"""", VALUE(REGEXREPLACE($I655, ""\,"", ""."")), """")"),"")</f>
        <v/>
      </c>
      <c r="O655" s="33" t="str">
        <f>IF(Account!$F655&lt;&gt;"", DATEVALUE(MID($A655,4,3) &amp; LEFT($A655,3) &amp; RIGHT($A655,4)) + TIMEVALUE($B655), "")</f>
        <v/>
      </c>
      <c r="P655" s="34" t="str">
        <f>IF(Account!$F655&lt;&gt;"", DATEVALUE(MID($C655,4,3) &amp; LEFT($C655,3) &amp; RIGHT($C655,4)), "")</f>
        <v/>
      </c>
      <c r="Q655" s="35" t="str">
        <f t="array" ref="Q655">IF($R655&lt;&gt;"",IFERROR(INDEX(ISIN!$B:$B,MATCH($R655,ISIN!$C:$C,0))),)</f>
        <v/>
      </c>
      <c r="R655" s="36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5" t="str">
        <f t="shared" si="1"/>
        <v/>
      </c>
      <c r="T655" s="37" t="str">
        <f t="shared" si="2"/>
        <v/>
      </c>
      <c r="U655" s="38" t="str">
        <f t="shared" si="3"/>
        <v/>
      </c>
      <c r="V655" s="32" t="str">
        <f t="shared" si="4"/>
        <v/>
      </c>
      <c r="W655" s="39" t="str">
        <f>IFERROR(__xludf.DUMMYFUNCTION(" IF(Account!$F655&lt;&gt;"""", SPLIT(Account!$F655, "" ""), """")"),"")</f>
        <v/>
      </c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</row>
    <row r="656">
      <c r="A656" s="12"/>
      <c r="B656" s="12"/>
      <c r="C656" s="12"/>
      <c r="D656" s="12"/>
      <c r="E656" s="12"/>
      <c r="F656" s="13"/>
      <c r="G656" s="291"/>
      <c r="H656" s="12"/>
      <c r="I656" s="12"/>
      <c r="J656" s="12"/>
      <c r="K656" s="12"/>
      <c r="L656" s="13"/>
      <c r="M656" s="30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2" t="str">
        <f>IFERROR(__xludf.DUMMYFUNCTION("IF(Account!$F656&lt;&gt;"""", VALUE(REGEXREPLACE($I656, ""\,"", ""."")), """")"),"")</f>
        <v/>
      </c>
      <c r="O656" s="33" t="str">
        <f>IF(Account!$F656&lt;&gt;"", DATEVALUE(MID($A656,4,3) &amp; LEFT($A656,3) &amp; RIGHT($A656,4)) + TIMEVALUE($B656), "")</f>
        <v/>
      </c>
      <c r="P656" s="34" t="str">
        <f>IF(Account!$F656&lt;&gt;"", DATEVALUE(MID($C656,4,3) &amp; LEFT($C656,3) &amp; RIGHT($C656,4)), "")</f>
        <v/>
      </c>
      <c r="Q656" s="35" t="str">
        <f t="array" ref="Q656">IF($R656&lt;&gt;"",IFERROR(INDEX(ISIN!$B:$B,MATCH($R656,ISIN!$C:$C,0))),)</f>
        <v/>
      </c>
      <c r="R656" s="36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5" t="str">
        <f t="shared" si="1"/>
        <v/>
      </c>
      <c r="T656" s="37" t="str">
        <f t="shared" si="2"/>
        <v/>
      </c>
      <c r="U656" s="38" t="str">
        <f t="shared" si="3"/>
        <v/>
      </c>
      <c r="V656" s="32" t="str">
        <f t="shared" si="4"/>
        <v/>
      </c>
      <c r="W656" s="39" t="str">
        <f>IFERROR(__xludf.DUMMYFUNCTION(" IF(Account!$F656&lt;&gt;"""", SPLIT(Account!$F656, "" ""), """")"),"")</f>
        <v/>
      </c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</row>
    <row r="657">
      <c r="A657" s="12"/>
      <c r="B657" s="12"/>
      <c r="C657" s="12"/>
      <c r="D657" s="12"/>
      <c r="E657" s="12"/>
      <c r="F657" s="13"/>
      <c r="G657" s="291"/>
      <c r="H657" s="12"/>
      <c r="I657" s="12"/>
      <c r="J657" s="12"/>
      <c r="K657" s="12"/>
      <c r="L657" s="13"/>
      <c r="M657" s="30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2" t="str">
        <f>IFERROR(__xludf.DUMMYFUNCTION("IF(Account!$F657&lt;&gt;"""", VALUE(REGEXREPLACE($I657, ""\,"", ""."")), """")"),"")</f>
        <v/>
      </c>
      <c r="O657" s="33" t="str">
        <f>IF(Account!$F657&lt;&gt;"", DATEVALUE(MID($A657,4,3) &amp; LEFT($A657,3) &amp; RIGHT($A657,4)) + TIMEVALUE($B657), "")</f>
        <v/>
      </c>
      <c r="P657" s="34" t="str">
        <f>IF(Account!$F657&lt;&gt;"", DATEVALUE(MID($C657,4,3) &amp; LEFT($C657,3) &amp; RIGHT($C657,4)), "")</f>
        <v/>
      </c>
      <c r="Q657" s="35" t="str">
        <f t="array" ref="Q657">IF($R657&lt;&gt;"",IFERROR(INDEX(ISIN!$B:$B,MATCH($R657,ISIN!$C:$C,0))),)</f>
        <v/>
      </c>
      <c r="R657" s="36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5" t="str">
        <f t="shared" si="1"/>
        <v/>
      </c>
      <c r="T657" s="37" t="str">
        <f t="shared" si="2"/>
        <v/>
      </c>
      <c r="U657" s="38" t="str">
        <f t="shared" si="3"/>
        <v/>
      </c>
      <c r="V657" s="32" t="str">
        <f t="shared" si="4"/>
        <v/>
      </c>
      <c r="W657" s="39" t="str">
        <f>IFERROR(__xludf.DUMMYFUNCTION(" IF(Account!$F657&lt;&gt;"""", SPLIT(Account!$F657, "" ""), """")"),"")</f>
        <v/>
      </c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</row>
    <row r="658">
      <c r="A658" s="12"/>
      <c r="B658" s="12"/>
      <c r="C658" s="12"/>
      <c r="D658" s="12"/>
      <c r="E658" s="12"/>
      <c r="F658" s="13"/>
      <c r="G658" s="291"/>
      <c r="H658" s="12"/>
      <c r="I658" s="12"/>
      <c r="J658" s="12"/>
      <c r="K658" s="12"/>
      <c r="L658" s="13"/>
      <c r="M658" s="30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2" t="str">
        <f>IFERROR(__xludf.DUMMYFUNCTION("IF(Account!$F658&lt;&gt;"""", VALUE(REGEXREPLACE($I658, ""\,"", ""."")), """")"),"")</f>
        <v/>
      </c>
      <c r="O658" s="33" t="str">
        <f>IF(Account!$F658&lt;&gt;"", DATEVALUE(MID($A658,4,3) &amp; LEFT($A658,3) &amp; RIGHT($A658,4)) + TIMEVALUE($B658), "")</f>
        <v/>
      </c>
      <c r="P658" s="34" t="str">
        <f>IF(Account!$F658&lt;&gt;"", DATEVALUE(MID($C658,4,3) &amp; LEFT($C658,3) &amp; RIGHT($C658,4)), "")</f>
        <v/>
      </c>
      <c r="Q658" s="35" t="str">
        <f t="array" ref="Q658">IF($R658&lt;&gt;"",IFERROR(INDEX(ISIN!$B:$B,MATCH($R658,ISIN!$C:$C,0))),)</f>
        <v/>
      </c>
      <c r="R658" s="36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5" t="str">
        <f t="shared" si="1"/>
        <v/>
      </c>
      <c r="T658" s="37" t="str">
        <f t="shared" si="2"/>
        <v/>
      </c>
      <c r="U658" s="38" t="str">
        <f t="shared" si="3"/>
        <v/>
      </c>
      <c r="V658" s="32" t="str">
        <f t="shared" si="4"/>
        <v/>
      </c>
      <c r="W658" s="39" t="str">
        <f>IFERROR(__xludf.DUMMYFUNCTION(" IF(Account!$F658&lt;&gt;"""", SPLIT(Account!$F658, "" ""), """")"),"")</f>
        <v/>
      </c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</row>
    <row r="659">
      <c r="A659" s="12"/>
      <c r="B659" s="12"/>
      <c r="C659" s="12"/>
      <c r="D659" s="12"/>
      <c r="E659" s="12"/>
      <c r="F659" s="13"/>
      <c r="G659" s="291"/>
      <c r="H659" s="12"/>
      <c r="I659" s="12"/>
      <c r="J659" s="12"/>
      <c r="K659" s="12"/>
      <c r="L659" s="13"/>
      <c r="M659" s="30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2" t="str">
        <f>IFERROR(__xludf.DUMMYFUNCTION("IF(Account!$F659&lt;&gt;"""", VALUE(REGEXREPLACE($I659, ""\,"", ""."")), """")"),"")</f>
        <v/>
      </c>
      <c r="O659" s="33" t="str">
        <f>IF(Account!$F659&lt;&gt;"", DATEVALUE(MID($A659,4,3) &amp; LEFT($A659,3) &amp; RIGHT($A659,4)) + TIMEVALUE($B659), "")</f>
        <v/>
      </c>
      <c r="P659" s="34" t="str">
        <f>IF(Account!$F659&lt;&gt;"", DATEVALUE(MID($C659,4,3) &amp; LEFT($C659,3) &amp; RIGHT($C659,4)), "")</f>
        <v/>
      </c>
      <c r="Q659" s="35" t="str">
        <f t="array" ref="Q659">IF($R659&lt;&gt;"",IFERROR(INDEX(ISIN!$B:$B,MATCH($R659,ISIN!$C:$C,0))),)</f>
        <v/>
      </c>
      <c r="R659" s="36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5" t="str">
        <f t="shared" si="1"/>
        <v/>
      </c>
      <c r="T659" s="37" t="str">
        <f t="shared" si="2"/>
        <v/>
      </c>
      <c r="U659" s="38" t="str">
        <f t="shared" si="3"/>
        <v/>
      </c>
      <c r="V659" s="32" t="str">
        <f t="shared" si="4"/>
        <v/>
      </c>
      <c r="W659" s="39" t="str">
        <f>IFERROR(__xludf.DUMMYFUNCTION(" IF(Account!$F659&lt;&gt;"""", SPLIT(Account!$F659, "" ""), """")"),"")</f>
        <v/>
      </c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</row>
    <row r="660">
      <c r="A660" s="12"/>
      <c r="B660" s="12"/>
      <c r="C660" s="12"/>
      <c r="D660" s="12"/>
      <c r="E660" s="12"/>
      <c r="F660" s="13"/>
      <c r="G660" s="12"/>
      <c r="H660" s="12"/>
      <c r="I660" s="12"/>
      <c r="J660" s="12"/>
      <c r="K660" s="12"/>
      <c r="L660" s="13"/>
      <c r="M660" s="30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2" t="str">
        <f>IFERROR(__xludf.DUMMYFUNCTION("IF(Account!$F660&lt;&gt;"""", VALUE(REGEXREPLACE($I660, ""\,"", ""."")), """")"),"")</f>
        <v/>
      </c>
      <c r="O660" s="33" t="str">
        <f>IF(Account!$F660&lt;&gt;"", DATEVALUE(MID($A660,4,3) &amp; LEFT($A660,3) &amp; RIGHT($A660,4)) + TIMEVALUE($B660), "")</f>
        <v/>
      </c>
      <c r="P660" s="34" t="str">
        <f>IF(Account!$F660&lt;&gt;"", DATEVALUE(MID($C660,4,3) &amp; LEFT($C660,3) &amp; RIGHT($C660,4)), "")</f>
        <v/>
      </c>
      <c r="Q660" s="35" t="str">
        <f t="array" ref="Q660">IF($R660&lt;&gt;"",IFERROR(INDEX(ISIN!$B:$B,MATCH($R660,ISIN!$C:$C,0))),)</f>
        <v/>
      </c>
      <c r="R660" s="36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5" t="str">
        <f t="shared" si="1"/>
        <v/>
      </c>
      <c r="T660" s="37" t="str">
        <f t="shared" si="2"/>
        <v/>
      </c>
      <c r="U660" s="38" t="str">
        <f t="shared" si="3"/>
        <v/>
      </c>
      <c r="V660" s="32" t="str">
        <f t="shared" si="4"/>
        <v/>
      </c>
      <c r="W660" s="39" t="str">
        <f>IFERROR(__xludf.DUMMYFUNCTION(" IF(Account!$F660&lt;&gt;"""", SPLIT(Account!$F660, "" ""), """")"),"")</f>
        <v/>
      </c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</row>
    <row r="661">
      <c r="A661" s="12"/>
      <c r="B661" s="12"/>
      <c r="C661" s="12"/>
      <c r="D661" s="12"/>
      <c r="E661" s="12"/>
      <c r="F661" s="13"/>
      <c r="G661" s="291"/>
      <c r="H661" s="12"/>
      <c r="I661" s="12"/>
      <c r="J661" s="12"/>
      <c r="K661" s="12"/>
      <c r="L661" s="13"/>
      <c r="M661" s="30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2" t="str">
        <f>IFERROR(__xludf.DUMMYFUNCTION("IF(Account!$F661&lt;&gt;"""", VALUE(REGEXREPLACE($I661, ""\,"", ""."")), """")"),"")</f>
        <v/>
      </c>
      <c r="O661" s="33" t="str">
        <f>IF(Account!$F661&lt;&gt;"", DATEVALUE(MID($A661,4,3) &amp; LEFT($A661,3) &amp; RIGHT($A661,4)) + TIMEVALUE($B661), "")</f>
        <v/>
      </c>
      <c r="P661" s="34" t="str">
        <f>IF(Account!$F661&lt;&gt;"", DATEVALUE(MID($C661,4,3) &amp; LEFT($C661,3) &amp; RIGHT($C661,4)), "")</f>
        <v/>
      </c>
      <c r="Q661" s="35" t="str">
        <f t="array" ref="Q661">IF($R661&lt;&gt;"",IFERROR(INDEX(ISIN!$B:$B,MATCH($R661,ISIN!$C:$C,0))),)</f>
        <v/>
      </c>
      <c r="R661" s="36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5" t="str">
        <f t="shared" si="1"/>
        <v/>
      </c>
      <c r="T661" s="37" t="str">
        <f t="shared" si="2"/>
        <v/>
      </c>
      <c r="U661" s="38" t="str">
        <f t="shared" si="3"/>
        <v/>
      </c>
      <c r="V661" s="32" t="str">
        <f t="shared" si="4"/>
        <v/>
      </c>
      <c r="W661" s="39" t="str">
        <f>IFERROR(__xludf.DUMMYFUNCTION(" IF(Account!$F661&lt;&gt;"""", SPLIT(Account!$F661, "" ""), """")"),"")</f>
        <v/>
      </c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</row>
    <row r="662">
      <c r="A662" s="12"/>
      <c r="B662" s="12"/>
      <c r="C662" s="12"/>
      <c r="D662" s="12"/>
      <c r="E662" s="12"/>
      <c r="F662" s="13"/>
      <c r="G662" s="291"/>
      <c r="H662" s="12"/>
      <c r="I662" s="12"/>
      <c r="J662" s="12"/>
      <c r="K662" s="12"/>
      <c r="L662" s="13"/>
      <c r="M662" s="30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2" t="str">
        <f>IFERROR(__xludf.DUMMYFUNCTION("IF(Account!$F662&lt;&gt;"""", VALUE(REGEXREPLACE($I662, ""\,"", ""."")), """")"),"")</f>
        <v/>
      </c>
      <c r="O662" s="33" t="str">
        <f>IF(Account!$F662&lt;&gt;"", DATEVALUE(MID($A662,4,3) &amp; LEFT($A662,3) &amp; RIGHT($A662,4)) + TIMEVALUE($B662), "")</f>
        <v/>
      </c>
      <c r="P662" s="34" t="str">
        <f>IF(Account!$F662&lt;&gt;"", DATEVALUE(MID($C662,4,3) &amp; LEFT($C662,3) &amp; RIGHT($C662,4)), "")</f>
        <v/>
      </c>
      <c r="Q662" s="35" t="str">
        <f t="array" ref="Q662">IF($R662&lt;&gt;"",IFERROR(INDEX(ISIN!$B:$B,MATCH($R662,ISIN!$C:$C,0))),)</f>
        <v/>
      </c>
      <c r="R662" s="36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5" t="str">
        <f t="shared" si="1"/>
        <v/>
      </c>
      <c r="T662" s="37" t="str">
        <f t="shared" si="2"/>
        <v/>
      </c>
      <c r="U662" s="38" t="str">
        <f t="shared" si="3"/>
        <v/>
      </c>
      <c r="V662" s="32" t="str">
        <f t="shared" si="4"/>
        <v/>
      </c>
      <c r="W662" s="39" t="str">
        <f>IFERROR(__xludf.DUMMYFUNCTION(" IF(Account!$F662&lt;&gt;"""", SPLIT(Account!$F662, "" ""), """")"),"")</f>
        <v/>
      </c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</row>
    <row r="663">
      <c r="A663" s="12"/>
      <c r="B663" s="12"/>
      <c r="C663" s="12"/>
      <c r="D663" s="12"/>
      <c r="E663" s="12"/>
      <c r="F663" s="13"/>
      <c r="G663" s="12"/>
      <c r="H663" s="12"/>
      <c r="I663" s="12"/>
      <c r="J663" s="12"/>
      <c r="K663" s="12"/>
      <c r="L663" s="13"/>
      <c r="M663" s="30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2" t="str">
        <f>IFERROR(__xludf.DUMMYFUNCTION("IF(Account!$F663&lt;&gt;"""", VALUE(REGEXREPLACE($I663, ""\,"", ""."")), """")"),"")</f>
        <v/>
      </c>
      <c r="O663" s="33" t="str">
        <f>IF(Account!$F663&lt;&gt;"", DATEVALUE(MID($A663,4,3) &amp; LEFT($A663,3) &amp; RIGHT($A663,4)) + TIMEVALUE($B663), "")</f>
        <v/>
      </c>
      <c r="P663" s="34" t="str">
        <f>IF(Account!$F663&lt;&gt;"", DATEVALUE(MID($C663,4,3) &amp; LEFT($C663,3) &amp; RIGHT($C663,4)), "")</f>
        <v/>
      </c>
      <c r="Q663" s="35" t="str">
        <f t="array" ref="Q663">IF($R663&lt;&gt;"",IFERROR(INDEX(ISIN!$B:$B,MATCH($R663,ISIN!$C:$C,0))),)</f>
        <v/>
      </c>
      <c r="R663" s="36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5" t="str">
        <f t="shared" si="1"/>
        <v/>
      </c>
      <c r="T663" s="37" t="str">
        <f t="shared" si="2"/>
        <v/>
      </c>
      <c r="U663" s="38" t="str">
        <f t="shared" si="3"/>
        <v/>
      </c>
      <c r="V663" s="32" t="str">
        <f t="shared" si="4"/>
        <v/>
      </c>
      <c r="W663" s="39" t="str">
        <f>IFERROR(__xludf.DUMMYFUNCTION(" IF(Account!$F663&lt;&gt;"""", SPLIT(Account!$F663, "" ""), """")"),"")</f>
        <v/>
      </c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</row>
    <row r="664">
      <c r="A664" s="12"/>
      <c r="B664" s="12"/>
      <c r="C664" s="12"/>
      <c r="D664" s="12"/>
      <c r="E664" s="12"/>
      <c r="F664" s="13"/>
      <c r="G664" s="291"/>
      <c r="H664" s="12"/>
      <c r="I664" s="12"/>
      <c r="J664" s="12"/>
      <c r="K664" s="12"/>
      <c r="L664" s="13"/>
      <c r="M664" s="30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2" t="str">
        <f>IFERROR(__xludf.DUMMYFUNCTION("IF(Account!$F664&lt;&gt;"""", VALUE(REGEXREPLACE($I664, ""\,"", ""."")), """")"),"")</f>
        <v/>
      </c>
      <c r="O664" s="33" t="str">
        <f>IF(Account!$F664&lt;&gt;"", DATEVALUE(MID($A664,4,3) &amp; LEFT($A664,3) &amp; RIGHT($A664,4)) + TIMEVALUE($B664), "")</f>
        <v/>
      </c>
      <c r="P664" s="34" t="str">
        <f>IF(Account!$F664&lt;&gt;"", DATEVALUE(MID($C664,4,3) &amp; LEFT($C664,3) &amp; RIGHT($C664,4)), "")</f>
        <v/>
      </c>
      <c r="Q664" s="35" t="str">
        <f t="array" ref="Q664">IF($R664&lt;&gt;"",IFERROR(INDEX(ISIN!$B:$B,MATCH($R664,ISIN!$C:$C,0))),)</f>
        <v/>
      </c>
      <c r="R664" s="36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5" t="str">
        <f t="shared" si="1"/>
        <v/>
      </c>
      <c r="T664" s="37" t="str">
        <f t="shared" si="2"/>
        <v/>
      </c>
      <c r="U664" s="38" t="str">
        <f t="shared" si="3"/>
        <v/>
      </c>
      <c r="V664" s="32" t="str">
        <f t="shared" si="4"/>
        <v/>
      </c>
      <c r="W664" s="39" t="str">
        <f>IFERROR(__xludf.DUMMYFUNCTION(" IF(Account!$F664&lt;&gt;"""", SPLIT(Account!$F664, "" ""), """")"),"")</f>
        <v/>
      </c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</row>
    <row r="665">
      <c r="A665" s="12"/>
      <c r="B665" s="12"/>
      <c r="C665" s="12"/>
      <c r="D665" s="12"/>
      <c r="E665" s="12"/>
      <c r="F665" s="13"/>
      <c r="G665" s="291"/>
      <c r="H665" s="12"/>
      <c r="I665" s="12"/>
      <c r="J665" s="12"/>
      <c r="K665" s="12"/>
      <c r="L665" s="13"/>
      <c r="M665" s="30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2" t="str">
        <f>IFERROR(__xludf.DUMMYFUNCTION("IF(Account!$F665&lt;&gt;"""", VALUE(REGEXREPLACE($I665, ""\,"", ""."")), """")"),"")</f>
        <v/>
      </c>
      <c r="O665" s="33" t="str">
        <f>IF(Account!$F665&lt;&gt;"", DATEVALUE(MID($A665,4,3) &amp; LEFT($A665,3) &amp; RIGHT($A665,4)) + TIMEVALUE($B665), "")</f>
        <v/>
      </c>
      <c r="P665" s="34" t="str">
        <f>IF(Account!$F665&lt;&gt;"", DATEVALUE(MID($C665,4,3) &amp; LEFT($C665,3) &amp; RIGHT($C665,4)), "")</f>
        <v/>
      </c>
      <c r="Q665" s="35" t="str">
        <f t="array" ref="Q665">IF($R665&lt;&gt;"",IFERROR(INDEX(ISIN!$B:$B,MATCH($R665,ISIN!$C:$C,0))),)</f>
        <v/>
      </c>
      <c r="R665" s="36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5" t="str">
        <f t="shared" si="1"/>
        <v/>
      </c>
      <c r="T665" s="37" t="str">
        <f t="shared" si="2"/>
        <v/>
      </c>
      <c r="U665" s="38" t="str">
        <f t="shared" si="3"/>
        <v/>
      </c>
      <c r="V665" s="32" t="str">
        <f t="shared" si="4"/>
        <v/>
      </c>
      <c r="W665" s="39" t="str">
        <f>IFERROR(__xludf.DUMMYFUNCTION(" IF(Account!$F665&lt;&gt;"""", SPLIT(Account!$F665, "" ""), """")"),"")</f>
        <v/>
      </c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</row>
    <row r="666">
      <c r="A666" s="291"/>
      <c r="B666" s="291"/>
      <c r="C666" s="291"/>
      <c r="D666" s="291"/>
      <c r="E666" s="291"/>
      <c r="F666" s="335"/>
      <c r="G666" s="291"/>
      <c r="H666" s="291"/>
      <c r="I666" s="291"/>
      <c r="J666" s="291"/>
      <c r="K666" s="291"/>
      <c r="L666" s="13"/>
      <c r="M666" s="30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2" t="str">
        <f>IFERROR(__xludf.DUMMYFUNCTION("IF(Account!$F666&lt;&gt;"""", VALUE(REGEXREPLACE($I666, ""\,"", ""."")), """")"),"")</f>
        <v/>
      </c>
      <c r="O666" s="33" t="str">
        <f>IF(Account!$F666&lt;&gt;"", DATEVALUE(MID($A666,4,3) &amp; LEFT($A666,3) &amp; RIGHT($A666,4)) + TIMEVALUE($B666), "")</f>
        <v/>
      </c>
      <c r="P666" s="34" t="str">
        <f>IF(Account!$F666&lt;&gt;"", DATEVALUE(MID($C666,4,3) &amp; LEFT($C666,3) &amp; RIGHT($C666,4)), "")</f>
        <v/>
      </c>
      <c r="Q666" s="35" t="str">
        <f t="array" ref="Q666">IF($R666&lt;&gt;"",IFERROR(INDEX(ISIN!$B:$B,MATCH($R666,ISIN!$C:$C,0))),)</f>
        <v/>
      </c>
      <c r="R666" s="36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5" t="str">
        <f t="shared" si="1"/>
        <v/>
      </c>
      <c r="T666" s="37" t="str">
        <f t="shared" si="2"/>
        <v/>
      </c>
      <c r="U666" s="38" t="str">
        <f t="shared" si="3"/>
        <v/>
      </c>
      <c r="V666" s="32" t="str">
        <f t="shared" si="4"/>
        <v/>
      </c>
      <c r="W666" s="39" t="str">
        <f>IFERROR(__xludf.DUMMYFUNCTION(" IF(Account!$F666&lt;&gt;"""", SPLIT(Account!$F666, "" ""), """")"),"")</f>
        <v/>
      </c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</row>
    <row r="667">
      <c r="A667" s="12"/>
      <c r="B667" s="12"/>
      <c r="C667" s="12"/>
      <c r="D667" s="12"/>
      <c r="E667" s="12"/>
      <c r="F667" s="13"/>
      <c r="G667" s="291"/>
      <c r="H667" s="12"/>
      <c r="I667" s="12"/>
      <c r="J667" s="12"/>
      <c r="K667" s="12"/>
      <c r="L667" s="13"/>
      <c r="M667" s="30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2" t="str">
        <f>IFERROR(__xludf.DUMMYFUNCTION("IF(Account!$F667&lt;&gt;"""", VALUE(REGEXREPLACE($I667, ""\,"", ""."")), """")"),"")</f>
        <v/>
      </c>
      <c r="O667" s="33" t="str">
        <f>IF(Account!$F667&lt;&gt;"", DATEVALUE(MID($A667,4,3) &amp; LEFT($A667,3) &amp; RIGHT($A667,4)) + TIMEVALUE($B667), "")</f>
        <v/>
      </c>
      <c r="P667" s="34" t="str">
        <f>IF(Account!$F667&lt;&gt;"", DATEVALUE(MID($C667,4,3) &amp; LEFT($C667,3) &amp; RIGHT($C667,4)), "")</f>
        <v/>
      </c>
      <c r="Q667" s="35" t="str">
        <f t="array" ref="Q667">IF($R667&lt;&gt;"",IFERROR(INDEX(ISIN!$B:$B,MATCH($R667,ISIN!$C:$C,0))),)</f>
        <v/>
      </c>
      <c r="R667" s="36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5" t="str">
        <f t="shared" si="1"/>
        <v/>
      </c>
      <c r="T667" s="37" t="str">
        <f t="shared" si="2"/>
        <v/>
      </c>
      <c r="U667" s="38" t="str">
        <f t="shared" si="3"/>
        <v/>
      </c>
      <c r="V667" s="32" t="str">
        <f t="shared" si="4"/>
        <v/>
      </c>
      <c r="W667" s="39" t="str">
        <f>IFERROR(__xludf.DUMMYFUNCTION(" IF(Account!$F667&lt;&gt;"""", SPLIT(Account!$F667, "" ""), """")"),"")</f>
        <v/>
      </c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</row>
    <row r="668">
      <c r="A668" s="12"/>
      <c r="B668" s="12"/>
      <c r="C668" s="12"/>
      <c r="D668" s="12"/>
      <c r="E668" s="12"/>
      <c r="F668" s="13"/>
      <c r="G668" s="291"/>
      <c r="H668" s="12"/>
      <c r="I668" s="12"/>
      <c r="J668" s="12"/>
      <c r="K668" s="12"/>
      <c r="L668" s="13"/>
      <c r="M668" s="30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2" t="str">
        <f>IFERROR(__xludf.DUMMYFUNCTION("IF(Account!$F668&lt;&gt;"""", VALUE(REGEXREPLACE($I668, ""\,"", ""."")), """")"),"")</f>
        <v/>
      </c>
      <c r="O668" s="33" t="str">
        <f>IF(Account!$F668&lt;&gt;"", DATEVALUE(MID($A668,4,3) &amp; LEFT($A668,3) &amp; RIGHT($A668,4)) + TIMEVALUE($B668), "")</f>
        <v/>
      </c>
      <c r="P668" s="34" t="str">
        <f>IF(Account!$F668&lt;&gt;"", DATEVALUE(MID($C668,4,3) &amp; LEFT($C668,3) &amp; RIGHT($C668,4)), "")</f>
        <v/>
      </c>
      <c r="Q668" s="35" t="str">
        <f t="array" ref="Q668">IF($R668&lt;&gt;"",IFERROR(INDEX(ISIN!$B:$B,MATCH($R668,ISIN!$C:$C,0))),)</f>
        <v/>
      </c>
      <c r="R668" s="36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5" t="str">
        <f t="shared" si="1"/>
        <v/>
      </c>
      <c r="T668" s="37" t="str">
        <f t="shared" si="2"/>
        <v/>
      </c>
      <c r="U668" s="38" t="str">
        <f t="shared" si="3"/>
        <v/>
      </c>
      <c r="V668" s="32" t="str">
        <f t="shared" si="4"/>
        <v/>
      </c>
      <c r="W668" s="39" t="str">
        <f>IFERROR(__xludf.DUMMYFUNCTION(" IF(Account!$F668&lt;&gt;"""", SPLIT(Account!$F668, "" ""), """")"),"")</f>
        <v/>
      </c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</row>
    <row r="669">
      <c r="A669" s="12"/>
      <c r="B669" s="12"/>
      <c r="C669" s="12"/>
      <c r="D669" s="12"/>
      <c r="E669" s="12"/>
      <c r="F669" s="13"/>
      <c r="G669" s="291"/>
      <c r="H669" s="12"/>
      <c r="I669" s="12"/>
      <c r="J669" s="12"/>
      <c r="K669" s="12"/>
      <c r="L669" s="13"/>
      <c r="M669" s="30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2" t="str">
        <f>IFERROR(__xludf.DUMMYFUNCTION("IF(Account!$F669&lt;&gt;"""", VALUE(REGEXREPLACE($I669, ""\,"", ""."")), """")"),"")</f>
        <v/>
      </c>
      <c r="O669" s="33" t="str">
        <f>IF(Account!$F669&lt;&gt;"", DATEVALUE(MID($A669,4,3) &amp; LEFT($A669,3) &amp; RIGHT($A669,4)) + TIMEVALUE($B669), "")</f>
        <v/>
      </c>
      <c r="P669" s="34" t="str">
        <f>IF(Account!$F669&lt;&gt;"", DATEVALUE(MID($C669,4,3) &amp; LEFT($C669,3) &amp; RIGHT($C669,4)), "")</f>
        <v/>
      </c>
      <c r="Q669" s="35" t="str">
        <f t="array" ref="Q669">IF($R669&lt;&gt;"",IFERROR(INDEX(ISIN!$B:$B,MATCH($R669,ISIN!$C:$C,0))),)</f>
        <v/>
      </c>
      <c r="R669" s="36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5" t="str">
        <f t="shared" si="1"/>
        <v/>
      </c>
      <c r="T669" s="37" t="str">
        <f t="shared" si="2"/>
        <v/>
      </c>
      <c r="U669" s="38" t="str">
        <f t="shared" si="3"/>
        <v/>
      </c>
      <c r="V669" s="32" t="str">
        <f t="shared" si="4"/>
        <v/>
      </c>
      <c r="W669" s="39" t="str">
        <f>IFERROR(__xludf.DUMMYFUNCTION(" IF(Account!$F669&lt;&gt;"""", SPLIT(Account!$F669, "" ""), """")"),"")</f>
        <v/>
      </c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</row>
    <row r="670">
      <c r="A670" s="12"/>
      <c r="B670" s="12"/>
      <c r="C670" s="12"/>
      <c r="D670" s="12"/>
      <c r="E670" s="12"/>
      <c r="F670" s="13"/>
      <c r="G670" s="291"/>
      <c r="H670" s="12"/>
      <c r="I670" s="12"/>
      <c r="J670" s="12"/>
      <c r="K670" s="12"/>
      <c r="L670" s="13"/>
      <c r="M670" s="30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2" t="str">
        <f>IFERROR(__xludf.DUMMYFUNCTION("IF(Account!$F670&lt;&gt;"""", VALUE(REGEXREPLACE($I670, ""\,"", ""."")), """")"),"")</f>
        <v/>
      </c>
      <c r="O670" s="33" t="str">
        <f>IF(Account!$F670&lt;&gt;"", DATEVALUE(MID($A670,4,3) &amp; LEFT($A670,3) &amp; RIGHT($A670,4)) + TIMEVALUE($B670), "")</f>
        <v/>
      </c>
      <c r="P670" s="34" t="str">
        <f>IF(Account!$F670&lt;&gt;"", DATEVALUE(MID($C670,4,3) &amp; LEFT($C670,3) &amp; RIGHT($C670,4)), "")</f>
        <v/>
      </c>
      <c r="Q670" s="35" t="str">
        <f t="array" ref="Q670">IF($R670&lt;&gt;"",IFERROR(INDEX(ISIN!$B:$B,MATCH($R670,ISIN!$C:$C,0))),)</f>
        <v/>
      </c>
      <c r="R670" s="36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5" t="str">
        <f t="shared" si="1"/>
        <v/>
      </c>
      <c r="T670" s="37" t="str">
        <f t="shared" si="2"/>
        <v/>
      </c>
      <c r="U670" s="38" t="str">
        <f t="shared" si="3"/>
        <v/>
      </c>
      <c r="V670" s="32" t="str">
        <f t="shared" si="4"/>
        <v/>
      </c>
      <c r="W670" s="39" t="str">
        <f>IFERROR(__xludf.DUMMYFUNCTION(" IF(Account!$F670&lt;&gt;"""", SPLIT(Account!$F670, "" ""), """")"),"")</f>
        <v/>
      </c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</row>
    <row r="671">
      <c r="A671" s="12"/>
      <c r="B671" s="12"/>
      <c r="C671" s="12"/>
      <c r="D671" s="12"/>
      <c r="E671" s="12"/>
      <c r="F671" s="13"/>
      <c r="G671" s="291"/>
      <c r="H671" s="12"/>
      <c r="I671" s="12"/>
      <c r="J671" s="12"/>
      <c r="K671" s="12"/>
      <c r="L671" s="13"/>
      <c r="M671" s="30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2" t="str">
        <f>IFERROR(__xludf.DUMMYFUNCTION("IF(Account!$F671&lt;&gt;"""", VALUE(REGEXREPLACE($I671, ""\,"", ""."")), """")"),"")</f>
        <v/>
      </c>
      <c r="O671" s="33" t="str">
        <f>IF(Account!$F671&lt;&gt;"", DATEVALUE(MID($A671,4,3) &amp; LEFT($A671,3) &amp; RIGHT($A671,4)) + TIMEVALUE($B671), "")</f>
        <v/>
      </c>
      <c r="P671" s="34" t="str">
        <f>IF(Account!$F671&lt;&gt;"", DATEVALUE(MID($C671,4,3) &amp; LEFT($C671,3) &amp; RIGHT($C671,4)), "")</f>
        <v/>
      </c>
      <c r="Q671" s="35" t="str">
        <f t="array" ref="Q671">IF($R671&lt;&gt;"",IFERROR(INDEX(ISIN!$B:$B,MATCH($R671,ISIN!$C:$C,0))),)</f>
        <v/>
      </c>
      <c r="R671" s="36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5" t="str">
        <f t="shared" si="1"/>
        <v/>
      </c>
      <c r="T671" s="37" t="str">
        <f t="shared" si="2"/>
        <v/>
      </c>
      <c r="U671" s="38" t="str">
        <f t="shared" si="3"/>
        <v/>
      </c>
      <c r="V671" s="32" t="str">
        <f t="shared" si="4"/>
        <v/>
      </c>
      <c r="W671" s="39" t="str">
        <f>IFERROR(__xludf.DUMMYFUNCTION(" IF(Account!$F671&lt;&gt;"""", SPLIT(Account!$F671, "" ""), """")"),"")</f>
        <v/>
      </c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</row>
    <row r="672">
      <c r="A672" s="12"/>
      <c r="B672" s="12"/>
      <c r="C672" s="12"/>
      <c r="D672" s="12"/>
      <c r="E672" s="12"/>
      <c r="F672" s="13"/>
      <c r="G672" s="291"/>
      <c r="H672" s="12"/>
      <c r="I672" s="12"/>
      <c r="J672" s="12"/>
      <c r="K672" s="12"/>
      <c r="L672" s="13"/>
      <c r="M672" s="30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2" t="str">
        <f>IFERROR(__xludf.DUMMYFUNCTION("IF(Account!$F672&lt;&gt;"""", VALUE(REGEXREPLACE($I672, ""\,"", ""."")), """")"),"")</f>
        <v/>
      </c>
      <c r="O672" s="33" t="str">
        <f>IF(Account!$F672&lt;&gt;"", DATEVALUE(MID($A672,4,3) &amp; LEFT($A672,3) &amp; RIGHT($A672,4)) + TIMEVALUE($B672), "")</f>
        <v/>
      </c>
      <c r="P672" s="34" t="str">
        <f>IF(Account!$F672&lt;&gt;"", DATEVALUE(MID($C672,4,3) &amp; LEFT($C672,3) &amp; RIGHT($C672,4)), "")</f>
        <v/>
      </c>
      <c r="Q672" s="35" t="str">
        <f t="array" ref="Q672">IF($R672&lt;&gt;"",IFERROR(INDEX(ISIN!$B:$B,MATCH($R672,ISIN!$C:$C,0))),)</f>
        <v/>
      </c>
      <c r="R672" s="36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5" t="str">
        <f t="shared" si="1"/>
        <v/>
      </c>
      <c r="T672" s="37" t="str">
        <f t="shared" si="2"/>
        <v/>
      </c>
      <c r="U672" s="38" t="str">
        <f t="shared" si="3"/>
        <v/>
      </c>
      <c r="V672" s="32" t="str">
        <f t="shared" si="4"/>
        <v/>
      </c>
      <c r="W672" s="39" t="str">
        <f>IFERROR(__xludf.DUMMYFUNCTION(" IF(Account!$F672&lt;&gt;"""", SPLIT(Account!$F672, "" ""), """")"),"")</f>
        <v/>
      </c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</row>
    <row r="673">
      <c r="A673" s="12"/>
      <c r="B673" s="12"/>
      <c r="C673" s="12"/>
      <c r="D673" s="12"/>
      <c r="E673" s="12"/>
      <c r="F673" s="13"/>
      <c r="G673" s="12"/>
      <c r="H673" s="12"/>
      <c r="I673" s="12"/>
      <c r="J673" s="12"/>
      <c r="K673" s="12"/>
      <c r="L673" s="13"/>
      <c r="M673" s="30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2" t="str">
        <f>IFERROR(__xludf.DUMMYFUNCTION("IF(Account!$F673&lt;&gt;"""", VALUE(REGEXREPLACE($I673, ""\,"", ""."")), """")"),"")</f>
        <v/>
      </c>
      <c r="O673" s="33" t="str">
        <f>IF(Account!$F673&lt;&gt;"", DATEVALUE(MID($A673,4,3) &amp; LEFT($A673,3) &amp; RIGHT($A673,4)) + TIMEVALUE($B673), "")</f>
        <v/>
      </c>
      <c r="P673" s="34" t="str">
        <f>IF(Account!$F673&lt;&gt;"", DATEVALUE(MID($C673,4,3) &amp; LEFT($C673,3) &amp; RIGHT($C673,4)), "")</f>
        <v/>
      </c>
      <c r="Q673" s="35" t="str">
        <f t="array" ref="Q673">IF($R673&lt;&gt;"",IFERROR(INDEX(ISIN!$B:$B,MATCH($R673,ISIN!$C:$C,0))),)</f>
        <v/>
      </c>
      <c r="R673" s="36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5" t="str">
        <f t="shared" si="1"/>
        <v/>
      </c>
      <c r="T673" s="37" t="str">
        <f t="shared" si="2"/>
        <v/>
      </c>
      <c r="U673" s="38" t="str">
        <f t="shared" si="3"/>
        <v/>
      </c>
      <c r="V673" s="32" t="str">
        <f t="shared" si="4"/>
        <v/>
      </c>
      <c r="W673" s="39" t="str">
        <f>IFERROR(__xludf.DUMMYFUNCTION(" IF(Account!$F673&lt;&gt;"""", SPLIT(Account!$F673, "" ""), """")"),"")</f>
        <v/>
      </c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</row>
    <row r="674">
      <c r="A674" s="12"/>
      <c r="B674" s="12"/>
      <c r="C674" s="12"/>
      <c r="D674" s="12"/>
      <c r="E674" s="12"/>
      <c r="F674" s="13"/>
      <c r="G674" s="291"/>
      <c r="H674" s="12"/>
      <c r="I674" s="12"/>
      <c r="J674" s="12"/>
      <c r="K674" s="12"/>
      <c r="L674" s="13"/>
      <c r="M674" s="30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2" t="str">
        <f>IFERROR(__xludf.DUMMYFUNCTION("IF(Account!$F674&lt;&gt;"""", VALUE(REGEXREPLACE($I674, ""\,"", ""."")), """")"),"")</f>
        <v/>
      </c>
      <c r="O674" s="33" t="str">
        <f>IF(Account!$F674&lt;&gt;"", DATEVALUE(MID($A674,4,3) &amp; LEFT($A674,3) &amp; RIGHT($A674,4)) + TIMEVALUE($B674), "")</f>
        <v/>
      </c>
      <c r="P674" s="34" t="str">
        <f>IF(Account!$F674&lt;&gt;"", DATEVALUE(MID($C674,4,3) &amp; LEFT($C674,3) &amp; RIGHT($C674,4)), "")</f>
        <v/>
      </c>
      <c r="Q674" s="35" t="str">
        <f t="array" ref="Q674">IF($R674&lt;&gt;"",IFERROR(INDEX(ISIN!$B:$B,MATCH($R674,ISIN!$C:$C,0))),)</f>
        <v/>
      </c>
      <c r="R674" s="36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5" t="str">
        <f t="shared" si="1"/>
        <v/>
      </c>
      <c r="T674" s="37" t="str">
        <f t="shared" si="2"/>
        <v/>
      </c>
      <c r="U674" s="38" t="str">
        <f t="shared" si="3"/>
        <v/>
      </c>
      <c r="V674" s="32" t="str">
        <f t="shared" si="4"/>
        <v/>
      </c>
      <c r="W674" s="39" t="str">
        <f>IFERROR(__xludf.DUMMYFUNCTION(" IF(Account!$F674&lt;&gt;"""", SPLIT(Account!$F674, "" ""), """")"),"")</f>
        <v/>
      </c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</row>
    <row r="675">
      <c r="A675" s="12"/>
      <c r="B675" s="12"/>
      <c r="C675" s="12"/>
      <c r="D675" s="12"/>
      <c r="E675" s="12"/>
      <c r="F675" s="13"/>
      <c r="G675" s="12"/>
      <c r="H675" s="12"/>
      <c r="I675" s="12"/>
      <c r="J675" s="12"/>
      <c r="K675" s="12"/>
      <c r="L675" s="13"/>
      <c r="M675" s="30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2" t="str">
        <f>IFERROR(__xludf.DUMMYFUNCTION("IF(Account!$F675&lt;&gt;"""", VALUE(REGEXREPLACE($I675, ""\,"", ""."")), """")"),"")</f>
        <v/>
      </c>
      <c r="O675" s="33" t="str">
        <f>IF(Account!$F675&lt;&gt;"", DATEVALUE(MID($A675,4,3) &amp; LEFT($A675,3) &amp; RIGHT($A675,4)) + TIMEVALUE($B675), "")</f>
        <v/>
      </c>
      <c r="P675" s="34" t="str">
        <f>IF(Account!$F675&lt;&gt;"", DATEVALUE(MID($C675,4,3) &amp; LEFT($C675,3) &amp; RIGHT($C675,4)), "")</f>
        <v/>
      </c>
      <c r="Q675" s="35" t="str">
        <f t="array" ref="Q675">IF($R675&lt;&gt;"",IFERROR(INDEX(ISIN!$B:$B,MATCH($R675,ISIN!$C:$C,0))),)</f>
        <v/>
      </c>
      <c r="R675" s="36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5" t="str">
        <f t="shared" si="1"/>
        <v/>
      </c>
      <c r="T675" s="37" t="str">
        <f t="shared" si="2"/>
        <v/>
      </c>
      <c r="U675" s="38" t="str">
        <f t="shared" si="3"/>
        <v/>
      </c>
      <c r="V675" s="32" t="str">
        <f t="shared" si="4"/>
        <v/>
      </c>
      <c r="W675" s="39" t="str">
        <f>IFERROR(__xludf.DUMMYFUNCTION(" IF(Account!$F675&lt;&gt;"""", SPLIT(Account!$F675, "" ""), """")"),"")</f>
        <v/>
      </c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</row>
    <row r="676">
      <c r="A676" s="12"/>
      <c r="B676" s="12"/>
      <c r="C676" s="12"/>
      <c r="D676" s="12"/>
      <c r="E676" s="12"/>
      <c r="F676" s="13"/>
      <c r="G676" s="291"/>
      <c r="H676" s="12"/>
      <c r="I676" s="12"/>
      <c r="J676" s="12"/>
      <c r="K676" s="12"/>
      <c r="L676" s="13"/>
      <c r="M676" s="30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2" t="str">
        <f>IFERROR(__xludf.DUMMYFUNCTION("IF(Account!$F676&lt;&gt;"""", VALUE(REGEXREPLACE($I676, ""\,"", ""."")), """")"),"")</f>
        <v/>
      </c>
      <c r="O676" s="33" t="str">
        <f>IF(Account!$F676&lt;&gt;"", DATEVALUE(MID($A676,4,3) &amp; LEFT($A676,3) &amp; RIGHT($A676,4)) + TIMEVALUE($B676), "")</f>
        <v/>
      </c>
      <c r="P676" s="34" t="str">
        <f>IF(Account!$F676&lt;&gt;"", DATEVALUE(MID($C676,4,3) &amp; LEFT($C676,3) &amp; RIGHT($C676,4)), "")</f>
        <v/>
      </c>
      <c r="Q676" s="35" t="str">
        <f t="array" ref="Q676">IF($R676&lt;&gt;"",IFERROR(INDEX(ISIN!$B:$B,MATCH($R676,ISIN!$C:$C,0))),)</f>
        <v/>
      </c>
      <c r="R676" s="36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5" t="str">
        <f t="shared" si="1"/>
        <v/>
      </c>
      <c r="T676" s="37" t="str">
        <f t="shared" si="2"/>
        <v/>
      </c>
      <c r="U676" s="38" t="str">
        <f t="shared" si="3"/>
        <v/>
      </c>
      <c r="V676" s="32" t="str">
        <f t="shared" si="4"/>
        <v/>
      </c>
      <c r="W676" s="39" t="str">
        <f>IFERROR(__xludf.DUMMYFUNCTION(" IF(Account!$F676&lt;&gt;"""", SPLIT(Account!$F676, "" ""), """")"),"")</f>
        <v/>
      </c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</row>
    <row r="677">
      <c r="A677" s="12"/>
      <c r="B677" s="12"/>
      <c r="C677" s="12"/>
      <c r="D677" s="12"/>
      <c r="E677" s="12"/>
      <c r="F677" s="13"/>
      <c r="G677" s="291"/>
      <c r="H677" s="12"/>
      <c r="I677" s="12"/>
      <c r="J677" s="12"/>
      <c r="K677" s="12"/>
      <c r="L677" s="13"/>
      <c r="M677" s="30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2" t="str">
        <f>IFERROR(__xludf.DUMMYFUNCTION("IF(Account!$F677&lt;&gt;"""", VALUE(REGEXREPLACE($I677, ""\,"", ""."")), """")"),"")</f>
        <v/>
      </c>
      <c r="O677" s="33" t="str">
        <f>IF(Account!$F677&lt;&gt;"", DATEVALUE(MID($A677,4,3) &amp; LEFT($A677,3) &amp; RIGHT($A677,4)) + TIMEVALUE($B677), "")</f>
        <v/>
      </c>
      <c r="P677" s="34" t="str">
        <f>IF(Account!$F677&lt;&gt;"", DATEVALUE(MID($C677,4,3) &amp; LEFT($C677,3) &amp; RIGHT($C677,4)), "")</f>
        <v/>
      </c>
      <c r="Q677" s="35" t="str">
        <f t="array" ref="Q677">IF($R677&lt;&gt;"",IFERROR(INDEX(ISIN!$B:$B,MATCH($R677,ISIN!$C:$C,0))),)</f>
        <v/>
      </c>
      <c r="R677" s="36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5" t="str">
        <f t="shared" si="1"/>
        <v/>
      </c>
      <c r="T677" s="37" t="str">
        <f t="shared" si="2"/>
        <v/>
      </c>
      <c r="U677" s="38" t="str">
        <f t="shared" si="3"/>
        <v/>
      </c>
      <c r="V677" s="32" t="str">
        <f t="shared" si="4"/>
        <v/>
      </c>
      <c r="W677" s="39" t="str">
        <f>IFERROR(__xludf.DUMMYFUNCTION(" IF(Account!$F677&lt;&gt;"""", SPLIT(Account!$F677, "" ""), """")"),"")</f>
        <v/>
      </c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</row>
    <row r="678">
      <c r="A678" s="12"/>
      <c r="B678" s="12"/>
      <c r="C678" s="12"/>
      <c r="D678" s="12"/>
      <c r="E678" s="12"/>
      <c r="F678" s="13"/>
      <c r="G678" s="291"/>
      <c r="H678" s="12"/>
      <c r="I678" s="12"/>
      <c r="J678" s="12"/>
      <c r="K678" s="12"/>
      <c r="L678" s="13"/>
      <c r="M678" s="30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2" t="str">
        <f>IFERROR(__xludf.DUMMYFUNCTION("IF(Account!$F678&lt;&gt;"""", VALUE(REGEXREPLACE($I678, ""\,"", ""."")), """")"),"")</f>
        <v/>
      </c>
      <c r="O678" s="33" t="str">
        <f>IF(Account!$F678&lt;&gt;"", DATEVALUE(MID($A678,4,3) &amp; LEFT($A678,3) &amp; RIGHT($A678,4)) + TIMEVALUE($B678), "")</f>
        <v/>
      </c>
      <c r="P678" s="34" t="str">
        <f>IF(Account!$F678&lt;&gt;"", DATEVALUE(MID($C678,4,3) &amp; LEFT($C678,3) &amp; RIGHT($C678,4)), "")</f>
        <v/>
      </c>
      <c r="Q678" s="35" t="str">
        <f t="array" ref="Q678">IF($R678&lt;&gt;"",IFERROR(INDEX(ISIN!$B:$B,MATCH($R678,ISIN!$C:$C,0))),)</f>
        <v/>
      </c>
      <c r="R678" s="36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5" t="str">
        <f t="shared" si="1"/>
        <v/>
      </c>
      <c r="T678" s="37" t="str">
        <f t="shared" si="2"/>
        <v/>
      </c>
      <c r="U678" s="38" t="str">
        <f t="shared" si="3"/>
        <v/>
      </c>
      <c r="V678" s="32" t="str">
        <f t="shared" si="4"/>
        <v/>
      </c>
      <c r="W678" s="39" t="str">
        <f>IFERROR(__xludf.DUMMYFUNCTION(" IF(Account!$F678&lt;&gt;"""", SPLIT(Account!$F678, "" ""), """")"),"")</f>
        <v/>
      </c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</row>
    <row r="679">
      <c r="A679" s="12"/>
      <c r="B679" s="12"/>
      <c r="C679" s="12"/>
      <c r="D679" s="12"/>
      <c r="E679" s="12"/>
      <c r="F679" s="13"/>
      <c r="G679" s="291"/>
      <c r="H679" s="12"/>
      <c r="I679" s="12"/>
      <c r="J679" s="12"/>
      <c r="K679" s="12"/>
      <c r="L679" s="13"/>
      <c r="M679" s="30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2" t="str">
        <f>IFERROR(__xludf.DUMMYFUNCTION("IF(Account!$F679&lt;&gt;"""", VALUE(REGEXREPLACE($I679, ""\,"", ""."")), """")"),"")</f>
        <v/>
      </c>
      <c r="O679" s="33" t="str">
        <f>IF(Account!$F679&lt;&gt;"", DATEVALUE(MID($A679,4,3) &amp; LEFT($A679,3) &amp; RIGHT($A679,4)) + TIMEVALUE($B679), "")</f>
        <v/>
      </c>
      <c r="P679" s="34" t="str">
        <f>IF(Account!$F679&lt;&gt;"", DATEVALUE(MID($C679,4,3) &amp; LEFT($C679,3) &amp; RIGHT($C679,4)), "")</f>
        <v/>
      </c>
      <c r="Q679" s="35" t="str">
        <f t="array" ref="Q679">IF($R679&lt;&gt;"",IFERROR(INDEX(ISIN!$B:$B,MATCH($R679,ISIN!$C:$C,0))),)</f>
        <v/>
      </c>
      <c r="R679" s="36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5" t="str">
        <f t="shared" si="1"/>
        <v/>
      </c>
      <c r="T679" s="37" t="str">
        <f t="shared" si="2"/>
        <v/>
      </c>
      <c r="U679" s="38" t="str">
        <f t="shared" si="3"/>
        <v/>
      </c>
      <c r="V679" s="32" t="str">
        <f t="shared" si="4"/>
        <v/>
      </c>
      <c r="W679" s="39" t="str">
        <f>IFERROR(__xludf.DUMMYFUNCTION(" IF(Account!$F679&lt;&gt;"""", SPLIT(Account!$F679, "" ""), """")"),"")</f>
        <v/>
      </c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</row>
    <row r="680">
      <c r="A680" s="12"/>
      <c r="B680" s="12"/>
      <c r="C680" s="12"/>
      <c r="D680" s="12"/>
      <c r="E680" s="12"/>
      <c r="F680" s="13"/>
      <c r="G680" s="291"/>
      <c r="H680" s="12"/>
      <c r="I680" s="12"/>
      <c r="J680" s="12"/>
      <c r="K680" s="12"/>
      <c r="L680" s="13"/>
      <c r="M680" s="30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2" t="str">
        <f>IFERROR(__xludf.DUMMYFUNCTION("IF(Account!$F680&lt;&gt;"""", VALUE(REGEXREPLACE($I680, ""\,"", ""."")), """")"),"")</f>
        <v/>
      </c>
      <c r="O680" s="33" t="str">
        <f>IF(Account!$F680&lt;&gt;"", DATEVALUE(MID($A680,4,3) &amp; LEFT($A680,3) &amp; RIGHT($A680,4)) + TIMEVALUE($B680), "")</f>
        <v/>
      </c>
      <c r="P680" s="34" t="str">
        <f>IF(Account!$F680&lt;&gt;"", DATEVALUE(MID($C680,4,3) &amp; LEFT($C680,3) &amp; RIGHT($C680,4)), "")</f>
        <v/>
      </c>
      <c r="Q680" s="35" t="str">
        <f t="array" ref="Q680">IF($R680&lt;&gt;"",IFERROR(INDEX(ISIN!$B:$B,MATCH($R680,ISIN!$C:$C,0))),)</f>
        <v/>
      </c>
      <c r="R680" s="36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5" t="str">
        <f t="shared" si="1"/>
        <v/>
      </c>
      <c r="T680" s="37" t="str">
        <f t="shared" si="2"/>
        <v/>
      </c>
      <c r="U680" s="38" t="str">
        <f t="shared" si="3"/>
        <v/>
      </c>
      <c r="V680" s="32" t="str">
        <f t="shared" si="4"/>
        <v/>
      </c>
      <c r="W680" s="39" t="str">
        <f>IFERROR(__xludf.DUMMYFUNCTION(" IF(Account!$F680&lt;&gt;"""", SPLIT(Account!$F680, "" ""), """")"),"")</f>
        <v/>
      </c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</row>
    <row r="681">
      <c r="A681" s="12"/>
      <c r="B681" s="12"/>
      <c r="C681" s="12"/>
      <c r="D681" s="12"/>
      <c r="E681" s="12"/>
      <c r="F681" s="13"/>
      <c r="G681" s="291"/>
      <c r="H681" s="12"/>
      <c r="I681" s="12"/>
      <c r="J681" s="12"/>
      <c r="K681" s="12"/>
      <c r="L681" s="13"/>
      <c r="M681" s="30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2" t="str">
        <f>IFERROR(__xludf.DUMMYFUNCTION("IF(Account!$F681&lt;&gt;"""", VALUE(REGEXREPLACE($I681, ""\,"", ""."")), """")"),"")</f>
        <v/>
      </c>
      <c r="O681" s="33" t="str">
        <f>IF(Account!$F681&lt;&gt;"", DATEVALUE(MID($A681,4,3) &amp; LEFT($A681,3) &amp; RIGHT($A681,4)) + TIMEVALUE($B681), "")</f>
        <v/>
      </c>
      <c r="P681" s="34" t="str">
        <f>IF(Account!$F681&lt;&gt;"", DATEVALUE(MID($C681,4,3) &amp; LEFT($C681,3) &amp; RIGHT($C681,4)), "")</f>
        <v/>
      </c>
      <c r="Q681" s="35" t="str">
        <f t="array" ref="Q681">IF($R681&lt;&gt;"",IFERROR(INDEX(ISIN!$B:$B,MATCH($R681,ISIN!$C:$C,0))),)</f>
        <v/>
      </c>
      <c r="R681" s="36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5" t="str">
        <f t="shared" si="1"/>
        <v/>
      </c>
      <c r="T681" s="37" t="str">
        <f t="shared" si="2"/>
        <v/>
      </c>
      <c r="U681" s="38" t="str">
        <f t="shared" si="3"/>
        <v/>
      </c>
      <c r="V681" s="32" t="str">
        <f t="shared" si="4"/>
        <v/>
      </c>
      <c r="W681" s="39" t="str">
        <f>IFERROR(__xludf.DUMMYFUNCTION(" IF(Account!$F681&lt;&gt;"""", SPLIT(Account!$F681, "" ""), """")"),"")</f>
        <v/>
      </c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</row>
    <row r="682">
      <c r="A682" s="12"/>
      <c r="B682" s="12"/>
      <c r="C682" s="12"/>
      <c r="D682" s="12"/>
      <c r="E682" s="12"/>
      <c r="F682" s="13"/>
      <c r="G682" s="291"/>
      <c r="H682" s="12"/>
      <c r="I682" s="12"/>
      <c r="J682" s="12"/>
      <c r="K682" s="12"/>
      <c r="L682" s="13"/>
      <c r="M682" s="30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2" t="str">
        <f>IFERROR(__xludf.DUMMYFUNCTION("IF(Account!$F682&lt;&gt;"""", VALUE(REGEXREPLACE($I682, ""\,"", ""."")), """")"),"")</f>
        <v/>
      </c>
      <c r="O682" s="33" t="str">
        <f>IF(Account!$F682&lt;&gt;"", DATEVALUE(MID($A682,4,3) &amp; LEFT($A682,3) &amp; RIGHT($A682,4)) + TIMEVALUE($B682), "")</f>
        <v/>
      </c>
      <c r="P682" s="34" t="str">
        <f>IF(Account!$F682&lt;&gt;"", DATEVALUE(MID($C682,4,3) &amp; LEFT($C682,3) &amp; RIGHT($C682,4)), "")</f>
        <v/>
      </c>
      <c r="Q682" s="35" t="str">
        <f t="array" ref="Q682">IF($R682&lt;&gt;"",IFERROR(INDEX(ISIN!$B:$B,MATCH($R682,ISIN!$C:$C,0))),)</f>
        <v/>
      </c>
      <c r="R682" s="36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5" t="str">
        <f t="shared" si="1"/>
        <v/>
      </c>
      <c r="T682" s="37" t="str">
        <f t="shared" si="2"/>
        <v/>
      </c>
      <c r="U682" s="38" t="str">
        <f t="shared" si="3"/>
        <v/>
      </c>
      <c r="V682" s="32" t="str">
        <f t="shared" si="4"/>
        <v/>
      </c>
      <c r="W682" s="39" t="str">
        <f>IFERROR(__xludf.DUMMYFUNCTION(" IF(Account!$F682&lt;&gt;"""", SPLIT(Account!$F682, "" ""), """")"),"")</f>
        <v/>
      </c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</row>
    <row r="683">
      <c r="A683" s="12"/>
      <c r="B683" s="12"/>
      <c r="C683" s="12"/>
      <c r="D683" s="12"/>
      <c r="E683" s="12"/>
      <c r="F683" s="13"/>
      <c r="G683" s="291"/>
      <c r="H683" s="12"/>
      <c r="I683" s="12"/>
      <c r="J683" s="12"/>
      <c r="K683" s="12"/>
      <c r="L683" s="13"/>
      <c r="M683" s="30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2" t="str">
        <f>IFERROR(__xludf.DUMMYFUNCTION("IF(Account!$F683&lt;&gt;"""", VALUE(REGEXREPLACE($I683, ""\,"", ""."")), """")"),"")</f>
        <v/>
      </c>
      <c r="O683" s="33" t="str">
        <f>IF(Account!$F683&lt;&gt;"", DATEVALUE(MID($A683,4,3) &amp; LEFT($A683,3) &amp; RIGHT($A683,4)) + TIMEVALUE($B683), "")</f>
        <v/>
      </c>
      <c r="P683" s="34" t="str">
        <f>IF(Account!$F683&lt;&gt;"", DATEVALUE(MID($C683,4,3) &amp; LEFT($C683,3) &amp; RIGHT($C683,4)), "")</f>
        <v/>
      </c>
      <c r="Q683" s="35" t="str">
        <f t="array" ref="Q683">IF($R683&lt;&gt;"",IFERROR(INDEX(ISIN!$B:$B,MATCH($R683,ISIN!$C:$C,0))),)</f>
        <v/>
      </c>
      <c r="R683" s="36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5" t="str">
        <f t="shared" si="1"/>
        <v/>
      </c>
      <c r="T683" s="37" t="str">
        <f t="shared" si="2"/>
        <v/>
      </c>
      <c r="U683" s="38" t="str">
        <f t="shared" si="3"/>
        <v/>
      </c>
      <c r="V683" s="32" t="str">
        <f t="shared" si="4"/>
        <v/>
      </c>
      <c r="W683" s="39" t="str">
        <f>IFERROR(__xludf.DUMMYFUNCTION(" IF(Account!$F683&lt;&gt;"""", SPLIT(Account!$F683, "" ""), """")"),"")</f>
        <v/>
      </c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</row>
    <row r="684">
      <c r="A684" s="12"/>
      <c r="B684" s="12"/>
      <c r="C684" s="12"/>
      <c r="D684" s="12"/>
      <c r="E684" s="12"/>
      <c r="F684" s="13"/>
      <c r="G684" s="291"/>
      <c r="H684" s="12"/>
      <c r="I684" s="12"/>
      <c r="J684" s="12"/>
      <c r="K684" s="12"/>
      <c r="L684" s="13"/>
      <c r="M684" s="30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2" t="str">
        <f>IFERROR(__xludf.DUMMYFUNCTION("IF(Account!$F684&lt;&gt;"""", VALUE(REGEXREPLACE($I684, ""\,"", ""."")), """")"),"")</f>
        <v/>
      </c>
      <c r="O684" s="33" t="str">
        <f>IF(Account!$F684&lt;&gt;"", DATEVALUE(MID($A684,4,3) &amp; LEFT($A684,3) &amp; RIGHT($A684,4)) + TIMEVALUE($B684), "")</f>
        <v/>
      </c>
      <c r="P684" s="34" t="str">
        <f>IF(Account!$F684&lt;&gt;"", DATEVALUE(MID($C684,4,3) &amp; LEFT($C684,3) &amp; RIGHT($C684,4)), "")</f>
        <v/>
      </c>
      <c r="Q684" s="35" t="str">
        <f t="array" ref="Q684">IF($R684&lt;&gt;"",IFERROR(INDEX(ISIN!$B:$B,MATCH($R684,ISIN!$C:$C,0))),)</f>
        <v/>
      </c>
      <c r="R684" s="36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5" t="str">
        <f t="shared" si="1"/>
        <v/>
      </c>
      <c r="T684" s="37" t="str">
        <f t="shared" si="2"/>
        <v/>
      </c>
      <c r="U684" s="38" t="str">
        <f t="shared" si="3"/>
        <v/>
      </c>
      <c r="V684" s="32" t="str">
        <f t="shared" si="4"/>
        <v/>
      </c>
      <c r="W684" s="39" t="str">
        <f>IFERROR(__xludf.DUMMYFUNCTION(" IF(Account!$F684&lt;&gt;"""", SPLIT(Account!$F684, "" ""), """")"),"")</f>
        <v/>
      </c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</row>
    <row r="685">
      <c r="A685" s="12"/>
      <c r="B685" s="12"/>
      <c r="C685" s="12"/>
      <c r="D685" s="12"/>
      <c r="E685" s="12"/>
      <c r="F685" s="13"/>
      <c r="G685" s="291"/>
      <c r="H685" s="12"/>
      <c r="I685" s="12"/>
      <c r="J685" s="12"/>
      <c r="K685" s="12"/>
      <c r="L685" s="13"/>
      <c r="M685" s="30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2" t="str">
        <f>IFERROR(__xludf.DUMMYFUNCTION("IF(Account!$F685&lt;&gt;"""", VALUE(REGEXREPLACE($I685, ""\,"", ""."")), """")"),"")</f>
        <v/>
      </c>
      <c r="O685" s="33" t="str">
        <f>IF(Account!$F685&lt;&gt;"", DATEVALUE(MID($A685,4,3) &amp; LEFT($A685,3) &amp; RIGHT($A685,4)) + TIMEVALUE($B685), "")</f>
        <v/>
      </c>
      <c r="P685" s="34" t="str">
        <f>IF(Account!$F685&lt;&gt;"", DATEVALUE(MID($C685,4,3) &amp; LEFT($C685,3) &amp; RIGHT($C685,4)), "")</f>
        <v/>
      </c>
      <c r="Q685" s="35" t="str">
        <f t="array" ref="Q685">IF($R685&lt;&gt;"",IFERROR(INDEX(ISIN!$B:$B,MATCH($R685,ISIN!$C:$C,0))),)</f>
        <v/>
      </c>
      <c r="R685" s="36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5" t="str">
        <f t="shared" si="1"/>
        <v/>
      </c>
      <c r="T685" s="37" t="str">
        <f t="shared" si="2"/>
        <v/>
      </c>
      <c r="U685" s="38" t="str">
        <f t="shared" si="3"/>
        <v/>
      </c>
      <c r="V685" s="32" t="str">
        <f t="shared" si="4"/>
        <v/>
      </c>
      <c r="W685" s="39" t="str">
        <f>IFERROR(__xludf.DUMMYFUNCTION(" IF(Account!$F685&lt;&gt;"""", SPLIT(Account!$F685, "" ""), """")"),"")</f>
        <v/>
      </c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</row>
    <row r="686">
      <c r="A686" s="12"/>
      <c r="B686" s="12"/>
      <c r="C686" s="12"/>
      <c r="D686" s="12"/>
      <c r="E686" s="12"/>
      <c r="F686" s="13"/>
      <c r="G686" s="291"/>
      <c r="H686" s="12"/>
      <c r="I686" s="12"/>
      <c r="J686" s="12"/>
      <c r="K686" s="12"/>
      <c r="L686" s="13"/>
      <c r="M686" s="30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2" t="str">
        <f>IFERROR(__xludf.DUMMYFUNCTION("IF(Account!$F686&lt;&gt;"""", VALUE(REGEXREPLACE($I686, ""\,"", ""."")), """")"),"")</f>
        <v/>
      </c>
      <c r="O686" s="33" t="str">
        <f>IF(Account!$F686&lt;&gt;"", DATEVALUE(MID($A686,4,3) &amp; LEFT($A686,3) &amp; RIGHT($A686,4)) + TIMEVALUE($B686), "")</f>
        <v/>
      </c>
      <c r="P686" s="34" t="str">
        <f>IF(Account!$F686&lt;&gt;"", DATEVALUE(MID($C686,4,3) &amp; LEFT($C686,3) &amp; RIGHT($C686,4)), "")</f>
        <v/>
      </c>
      <c r="Q686" s="35" t="str">
        <f t="array" ref="Q686">IF($R686&lt;&gt;"",IFERROR(INDEX(ISIN!$B:$B,MATCH($R686,ISIN!$C:$C,0))),)</f>
        <v/>
      </c>
      <c r="R686" s="36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5" t="str">
        <f t="shared" si="1"/>
        <v/>
      </c>
      <c r="T686" s="37" t="str">
        <f t="shared" si="2"/>
        <v/>
      </c>
      <c r="U686" s="38" t="str">
        <f t="shared" si="3"/>
        <v/>
      </c>
      <c r="V686" s="32" t="str">
        <f t="shared" si="4"/>
        <v/>
      </c>
      <c r="W686" s="39" t="str">
        <f>IFERROR(__xludf.DUMMYFUNCTION(" IF(Account!$F686&lt;&gt;"""", SPLIT(Account!$F686, "" ""), """")"),"")</f>
        <v/>
      </c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</row>
    <row r="687">
      <c r="A687" s="12"/>
      <c r="B687" s="12"/>
      <c r="C687" s="12"/>
      <c r="D687" s="12"/>
      <c r="E687" s="12"/>
      <c r="F687" s="13"/>
      <c r="G687" s="291"/>
      <c r="H687" s="291"/>
      <c r="I687" s="291"/>
      <c r="J687" s="12"/>
      <c r="K687" s="12"/>
      <c r="L687" s="335"/>
      <c r="M687" s="30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2" t="str">
        <f>IFERROR(__xludf.DUMMYFUNCTION("IF(Account!$F687&lt;&gt;"""", VALUE(REGEXREPLACE($I687, ""\,"", ""."")), """")"),"")</f>
        <v/>
      </c>
      <c r="O687" s="33" t="str">
        <f>IF(Account!$F687&lt;&gt;"", DATEVALUE(MID($A687,4,3) &amp; LEFT($A687,3) &amp; RIGHT($A687,4)) + TIMEVALUE($B687), "")</f>
        <v/>
      </c>
      <c r="P687" s="34" t="str">
        <f>IF(Account!$F687&lt;&gt;"", DATEVALUE(MID($C687,4,3) &amp; LEFT($C687,3) &amp; RIGHT($C687,4)), "")</f>
        <v/>
      </c>
      <c r="Q687" s="35" t="str">
        <f t="array" ref="Q687">IF($R687&lt;&gt;"",IFERROR(INDEX(ISIN!$B:$B,MATCH($R687,ISIN!$C:$C,0))),)</f>
        <v/>
      </c>
      <c r="R687" s="36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5" t="str">
        <f t="shared" si="1"/>
        <v/>
      </c>
      <c r="T687" s="37" t="str">
        <f t="shared" si="2"/>
        <v/>
      </c>
      <c r="U687" s="38" t="str">
        <f t="shared" si="3"/>
        <v/>
      </c>
      <c r="V687" s="32" t="str">
        <f t="shared" si="4"/>
        <v/>
      </c>
      <c r="W687" s="39" t="str">
        <f>IFERROR(__xludf.DUMMYFUNCTION(" IF(Account!$F687&lt;&gt;"""", SPLIT(Account!$F687, "" ""), """")"),"")</f>
        <v/>
      </c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</row>
    <row r="688">
      <c r="A688" s="12"/>
      <c r="B688" s="12"/>
      <c r="C688" s="12"/>
      <c r="D688" s="291"/>
      <c r="E688" s="291"/>
      <c r="F688" s="13"/>
      <c r="G688" s="291"/>
      <c r="H688" s="12"/>
      <c r="I688" s="12"/>
      <c r="J688" s="12"/>
      <c r="K688" s="12"/>
      <c r="L688" s="335"/>
      <c r="M688" s="30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2" t="str">
        <f>IFERROR(__xludf.DUMMYFUNCTION("IF(Account!$F688&lt;&gt;"""", VALUE(REGEXREPLACE($I688, ""\,"", ""."")), """")"),"")</f>
        <v/>
      </c>
      <c r="O688" s="33" t="str">
        <f>IF(Account!$F688&lt;&gt;"", DATEVALUE(MID($A688,4,3) &amp; LEFT($A688,3) &amp; RIGHT($A688,4)) + TIMEVALUE($B688), "")</f>
        <v/>
      </c>
      <c r="P688" s="34" t="str">
        <f>IF(Account!$F688&lt;&gt;"", DATEVALUE(MID($C688,4,3) &amp; LEFT($C688,3) &amp; RIGHT($C688,4)), "")</f>
        <v/>
      </c>
      <c r="Q688" s="35" t="str">
        <f t="array" ref="Q688">IF($R688&lt;&gt;"",IFERROR(INDEX(ISIN!$B:$B,MATCH($R688,ISIN!$C:$C,0))),)</f>
        <v/>
      </c>
      <c r="R688" s="36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5" t="str">
        <f t="shared" si="1"/>
        <v/>
      </c>
      <c r="T688" s="37" t="str">
        <f t="shared" si="2"/>
        <v/>
      </c>
      <c r="U688" s="38" t="str">
        <f t="shared" si="3"/>
        <v/>
      </c>
      <c r="V688" s="32" t="str">
        <f t="shared" si="4"/>
        <v/>
      </c>
      <c r="W688" s="39" t="str">
        <f>IFERROR(__xludf.DUMMYFUNCTION(" IF(Account!$F688&lt;&gt;"""", SPLIT(Account!$F688, "" ""), """")"),"")</f>
        <v/>
      </c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</row>
    <row r="689">
      <c r="A689" s="12"/>
      <c r="B689" s="12"/>
      <c r="C689" s="12"/>
      <c r="D689" s="291"/>
      <c r="E689" s="291"/>
      <c r="F689" s="13"/>
      <c r="G689" s="12"/>
      <c r="H689" s="12"/>
      <c r="I689" s="12"/>
      <c r="J689" s="12"/>
      <c r="K689" s="12"/>
      <c r="L689" s="335"/>
      <c r="M689" s="30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2" t="str">
        <f>IFERROR(__xludf.DUMMYFUNCTION("IF(Account!$F689&lt;&gt;"""", VALUE(REGEXREPLACE($I689, ""\,"", ""."")), """")"),"")</f>
        <v/>
      </c>
      <c r="O689" s="33" t="str">
        <f>IF(Account!$F689&lt;&gt;"", DATEVALUE(MID($A689,4,3) &amp; LEFT($A689,3) &amp; RIGHT($A689,4)) + TIMEVALUE($B689), "")</f>
        <v/>
      </c>
      <c r="P689" s="34" t="str">
        <f>IF(Account!$F689&lt;&gt;"", DATEVALUE(MID($C689,4,3) &amp; LEFT($C689,3) &amp; RIGHT($C689,4)), "")</f>
        <v/>
      </c>
      <c r="Q689" s="35" t="str">
        <f t="array" ref="Q689">IF($R689&lt;&gt;"",IFERROR(INDEX(ISIN!$B:$B,MATCH($R689,ISIN!$C:$C,0))),)</f>
        <v/>
      </c>
      <c r="R689" s="36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5" t="str">
        <f t="shared" si="1"/>
        <v/>
      </c>
      <c r="T689" s="37" t="str">
        <f t="shared" si="2"/>
        <v/>
      </c>
      <c r="U689" s="38" t="str">
        <f t="shared" si="3"/>
        <v/>
      </c>
      <c r="V689" s="32" t="str">
        <f t="shared" si="4"/>
        <v/>
      </c>
      <c r="W689" s="39" t="str">
        <f>IFERROR(__xludf.DUMMYFUNCTION(" IF(Account!$F689&lt;&gt;"""", SPLIT(Account!$F689, "" ""), """")"),"")</f>
        <v/>
      </c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</row>
    <row r="690">
      <c r="A690" s="12"/>
      <c r="B690" s="12"/>
      <c r="C690" s="12"/>
      <c r="D690" s="12"/>
      <c r="E690" s="12"/>
      <c r="F690" s="13"/>
      <c r="G690" s="291"/>
      <c r="H690" s="291"/>
      <c r="I690" s="291"/>
      <c r="J690" s="12"/>
      <c r="K690" s="12"/>
      <c r="L690" s="335"/>
      <c r="M690" s="30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2" t="str">
        <f>IFERROR(__xludf.DUMMYFUNCTION("IF(Account!$F690&lt;&gt;"""", VALUE(REGEXREPLACE($I690, ""\,"", ""."")), """")"),"")</f>
        <v/>
      </c>
      <c r="O690" s="33" t="str">
        <f>IF(Account!$F690&lt;&gt;"", DATEVALUE(MID($A690,4,3) &amp; LEFT($A690,3) &amp; RIGHT($A690,4)) + TIMEVALUE($B690), "")</f>
        <v/>
      </c>
      <c r="P690" s="34" t="str">
        <f>IF(Account!$F690&lt;&gt;"", DATEVALUE(MID($C690,4,3) &amp; LEFT($C690,3) &amp; RIGHT($C690,4)), "")</f>
        <v/>
      </c>
      <c r="Q690" s="35" t="str">
        <f t="array" ref="Q690">IF($R690&lt;&gt;"",IFERROR(INDEX(ISIN!$B:$B,MATCH($R690,ISIN!$C:$C,0))),)</f>
        <v/>
      </c>
      <c r="R690" s="36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5" t="str">
        <f t="shared" si="1"/>
        <v/>
      </c>
      <c r="T690" s="37" t="str">
        <f t="shared" si="2"/>
        <v/>
      </c>
      <c r="U690" s="38" t="str">
        <f t="shared" si="3"/>
        <v/>
      </c>
      <c r="V690" s="32" t="str">
        <f t="shared" si="4"/>
        <v/>
      </c>
      <c r="W690" s="39" t="str">
        <f>IFERROR(__xludf.DUMMYFUNCTION(" IF(Account!$F690&lt;&gt;"""", SPLIT(Account!$F690, "" ""), """")"),"")</f>
        <v/>
      </c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</row>
    <row r="691">
      <c r="A691" s="12"/>
      <c r="B691" s="12"/>
      <c r="C691" s="12"/>
      <c r="D691" s="12"/>
      <c r="E691" s="12"/>
      <c r="F691" s="13"/>
      <c r="G691" s="291"/>
      <c r="H691" s="12"/>
      <c r="I691" s="12"/>
      <c r="J691" s="12"/>
      <c r="K691" s="12"/>
      <c r="L691" s="335"/>
      <c r="M691" s="30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2" t="str">
        <f>IFERROR(__xludf.DUMMYFUNCTION("IF(Account!$F691&lt;&gt;"""", VALUE(REGEXREPLACE($I691, ""\,"", ""."")), """")"),"")</f>
        <v/>
      </c>
      <c r="O691" s="33" t="str">
        <f>IF(Account!$F691&lt;&gt;"", DATEVALUE(MID($A691,4,3) &amp; LEFT($A691,3) &amp; RIGHT($A691,4)) + TIMEVALUE($B691), "")</f>
        <v/>
      </c>
      <c r="P691" s="34" t="str">
        <f>IF(Account!$F691&lt;&gt;"", DATEVALUE(MID($C691,4,3) &amp; LEFT($C691,3) &amp; RIGHT($C691,4)), "")</f>
        <v/>
      </c>
      <c r="Q691" s="35" t="str">
        <f t="array" ref="Q691">IF($R691&lt;&gt;"",IFERROR(INDEX(ISIN!$B:$B,MATCH($R691,ISIN!$C:$C,0))),)</f>
        <v/>
      </c>
      <c r="R691" s="36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5" t="str">
        <f t="shared" si="1"/>
        <v/>
      </c>
      <c r="T691" s="37" t="str">
        <f t="shared" si="2"/>
        <v/>
      </c>
      <c r="U691" s="38" t="str">
        <f t="shared" si="3"/>
        <v/>
      </c>
      <c r="V691" s="32" t="str">
        <f t="shared" si="4"/>
        <v/>
      </c>
      <c r="W691" s="39" t="str">
        <f>IFERROR(__xludf.DUMMYFUNCTION(" IF(Account!$F691&lt;&gt;"""", SPLIT(Account!$F691, "" ""), """")"),"")</f>
        <v/>
      </c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</row>
    <row r="692">
      <c r="A692" s="12"/>
      <c r="B692" s="12"/>
      <c r="C692" s="12"/>
      <c r="D692" s="12"/>
      <c r="E692" s="12"/>
      <c r="F692" s="13"/>
      <c r="G692" s="291"/>
      <c r="H692" s="12"/>
      <c r="I692" s="12"/>
      <c r="J692" s="12"/>
      <c r="K692" s="12"/>
      <c r="L692" s="335"/>
      <c r="M692" s="30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2" t="str">
        <f>IFERROR(__xludf.DUMMYFUNCTION("IF(Account!$F692&lt;&gt;"""", VALUE(REGEXREPLACE($I692, ""\,"", ""."")), """")"),"")</f>
        <v/>
      </c>
      <c r="O692" s="33" t="str">
        <f>IF(Account!$F692&lt;&gt;"", DATEVALUE(MID($A692,4,3) &amp; LEFT($A692,3) &amp; RIGHT($A692,4)) + TIMEVALUE($B692), "")</f>
        <v/>
      </c>
      <c r="P692" s="34" t="str">
        <f>IF(Account!$F692&lt;&gt;"", DATEVALUE(MID($C692,4,3) &amp; LEFT($C692,3) &amp; RIGHT($C692,4)), "")</f>
        <v/>
      </c>
      <c r="Q692" s="35" t="str">
        <f t="array" ref="Q692">IF($R692&lt;&gt;"",IFERROR(INDEX(ISIN!$B:$B,MATCH($R692,ISIN!$C:$C,0))),)</f>
        <v/>
      </c>
      <c r="R692" s="36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5" t="str">
        <f t="shared" si="1"/>
        <v/>
      </c>
      <c r="T692" s="37" t="str">
        <f t="shared" si="2"/>
        <v/>
      </c>
      <c r="U692" s="38" t="str">
        <f t="shared" si="3"/>
        <v/>
      </c>
      <c r="V692" s="32" t="str">
        <f t="shared" si="4"/>
        <v/>
      </c>
      <c r="W692" s="39" t="str">
        <f>IFERROR(__xludf.DUMMYFUNCTION(" IF(Account!$F692&lt;&gt;"""", SPLIT(Account!$F692, "" ""), """")"),"")</f>
        <v/>
      </c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</row>
    <row r="693">
      <c r="A693" s="12"/>
      <c r="B693" s="12"/>
      <c r="C693" s="12"/>
      <c r="D693" s="12"/>
      <c r="E693" s="12"/>
      <c r="F693" s="13"/>
      <c r="G693" s="291"/>
      <c r="H693" s="12"/>
      <c r="I693" s="12"/>
      <c r="J693" s="12"/>
      <c r="K693" s="12"/>
      <c r="L693" s="335"/>
      <c r="M693" s="30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2" t="str">
        <f>IFERROR(__xludf.DUMMYFUNCTION("IF(Account!$F693&lt;&gt;"""", VALUE(REGEXREPLACE($I693, ""\,"", ""."")), """")"),"")</f>
        <v/>
      </c>
      <c r="O693" s="33" t="str">
        <f>IF(Account!$F693&lt;&gt;"", DATEVALUE(MID($A693,4,3) &amp; LEFT($A693,3) &amp; RIGHT($A693,4)) + TIMEVALUE($B693), "")</f>
        <v/>
      </c>
      <c r="P693" s="34" t="str">
        <f>IF(Account!$F693&lt;&gt;"", DATEVALUE(MID($C693,4,3) &amp; LEFT($C693,3) &amp; RIGHT($C693,4)), "")</f>
        <v/>
      </c>
      <c r="Q693" s="35" t="str">
        <f t="array" ref="Q693">IF($R693&lt;&gt;"",IFERROR(INDEX(ISIN!$B:$B,MATCH($R693,ISIN!$C:$C,0))),)</f>
        <v/>
      </c>
      <c r="R693" s="36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5" t="str">
        <f t="shared" si="1"/>
        <v/>
      </c>
      <c r="T693" s="37" t="str">
        <f t="shared" si="2"/>
        <v/>
      </c>
      <c r="U693" s="38" t="str">
        <f t="shared" si="3"/>
        <v/>
      </c>
      <c r="V693" s="32" t="str">
        <f t="shared" si="4"/>
        <v/>
      </c>
      <c r="W693" s="39" t="str">
        <f>IFERROR(__xludf.DUMMYFUNCTION(" IF(Account!$F693&lt;&gt;"""", SPLIT(Account!$F693, "" ""), """")"),"")</f>
        <v/>
      </c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</row>
    <row r="694">
      <c r="A694" s="12"/>
      <c r="B694" s="12"/>
      <c r="C694" s="12"/>
      <c r="D694" s="12"/>
      <c r="E694" s="12"/>
      <c r="F694" s="13"/>
      <c r="G694" s="291"/>
      <c r="H694" s="291"/>
      <c r="I694" s="291"/>
      <c r="J694" s="12"/>
      <c r="K694" s="12"/>
      <c r="L694" s="335"/>
      <c r="M694" s="30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2" t="str">
        <f>IFERROR(__xludf.DUMMYFUNCTION("IF(Account!$F694&lt;&gt;"""", VALUE(REGEXREPLACE($I694, ""\,"", ""."")), """")"),"")</f>
        <v/>
      </c>
      <c r="O694" s="33" t="str">
        <f>IF(Account!$F694&lt;&gt;"", DATEVALUE(MID($A694,4,3) &amp; LEFT($A694,3) &amp; RIGHT($A694,4)) + TIMEVALUE($B694), "")</f>
        <v/>
      </c>
      <c r="P694" s="34" t="str">
        <f>IF(Account!$F694&lt;&gt;"", DATEVALUE(MID($C694,4,3) &amp; LEFT($C694,3) &amp; RIGHT($C694,4)), "")</f>
        <v/>
      </c>
      <c r="Q694" s="35" t="str">
        <f t="array" ref="Q694">IF($R694&lt;&gt;"",IFERROR(INDEX(ISIN!$B:$B,MATCH($R694,ISIN!$C:$C,0))),)</f>
        <v/>
      </c>
      <c r="R694" s="36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5" t="str">
        <f t="shared" si="1"/>
        <v/>
      </c>
      <c r="T694" s="37" t="str">
        <f t="shared" si="2"/>
        <v/>
      </c>
      <c r="U694" s="38" t="str">
        <f t="shared" si="3"/>
        <v/>
      </c>
      <c r="V694" s="32" t="str">
        <f t="shared" si="4"/>
        <v/>
      </c>
      <c r="W694" s="39" t="str">
        <f>IFERROR(__xludf.DUMMYFUNCTION(" IF(Account!$F694&lt;&gt;"""", SPLIT(Account!$F694, "" ""), """")"),"")</f>
        <v/>
      </c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</row>
    <row r="695">
      <c r="A695" s="12"/>
      <c r="B695" s="12"/>
      <c r="C695" s="12"/>
      <c r="D695" s="291"/>
      <c r="E695" s="291"/>
      <c r="F695" s="13"/>
      <c r="G695" s="291"/>
      <c r="H695" s="12"/>
      <c r="I695" s="12"/>
      <c r="J695" s="12"/>
      <c r="K695" s="12"/>
      <c r="L695" s="335"/>
      <c r="M695" s="30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2" t="str">
        <f>IFERROR(__xludf.DUMMYFUNCTION("IF(Account!$F695&lt;&gt;"""", VALUE(REGEXREPLACE($I695, ""\,"", ""."")), """")"),"")</f>
        <v/>
      </c>
      <c r="O695" s="33" t="str">
        <f>IF(Account!$F695&lt;&gt;"", DATEVALUE(MID($A695,4,3) &amp; LEFT($A695,3) &amp; RIGHT($A695,4)) + TIMEVALUE($B695), "")</f>
        <v/>
      </c>
      <c r="P695" s="34" t="str">
        <f>IF(Account!$F695&lt;&gt;"", DATEVALUE(MID($C695,4,3) &amp; LEFT($C695,3) &amp; RIGHT($C695,4)), "")</f>
        <v/>
      </c>
      <c r="Q695" s="35" t="str">
        <f t="array" ref="Q695">IF($R695&lt;&gt;"",IFERROR(INDEX(ISIN!$B:$B,MATCH($R695,ISIN!$C:$C,0))),)</f>
        <v/>
      </c>
      <c r="R695" s="36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5" t="str">
        <f t="shared" si="1"/>
        <v/>
      </c>
      <c r="T695" s="37" t="str">
        <f t="shared" si="2"/>
        <v/>
      </c>
      <c r="U695" s="38" t="str">
        <f t="shared" si="3"/>
        <v/>
      </c>
      <c r="V695" s="32" t="str">
        <f t="shared" si="4"/>
        <v/>
      </c>
      <c r="W695" s="39" t="str">
        <f>IFERROR(__xludf.DUMMYFUNCTION(" IF(Account!$F695&lt;&gt;"""", SPLIT(Account!$F695, "" ""), """")"),"")</f>
        <v/>
      </c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</row>
    <row r="696">
      <c r="A696" s="12"/>
      <c r="B696" s="12"/>
      <c r="C696" s="12"/>
      <c r="D696" s="12"/>
      <c r="E696" s="12"/>
      <c r="F696" s="13"/>
      <c r="G696" s="291"/>
      <c r="H696" s="291"/>
      <c r="I696" s="291"/>
      <c r="J696" s="12"/>
      <c r="K696" s="12"/>
      <c r="L696" s="335"/>
      <c r="M696" s="30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2" t="str">
        <f>IFERROR(__xludf.DUMMYFUNCTION("IF(Account!$F696&lt;&gt;"""", VALUE(REGEXREPLACE($I696, ""\,"", ""."")), """")"),"")</f>
        <v/>
      </c>
      <c r="O696" s="33" t="str">
        <f>IF(Account!$F696&lt;&gt;"", DATEVALUE(MID($A696,4,3) &amp; LEFT($A696,3) &amp; RIGHT($A696,4)) + TIMEVALUE($B696), "")</f>
        <v/>
      </c>
      <c r="P696" s="34" t="str">
        <f>IF(Account!$F696&lt;&gt;"", DATEVALUE(MID($C696,4,3) &amp; LEFT($C696,3) &amp; RIGHT($C696,4)), "")</f>
        <v/>
      </c>
      <c r="Q696" s="35" t="str">
        <f t="array" ref="Q696">IF($R696&lt;&gt;"",IFERROR(INDEX(ISIN!$B:$B,MATCH($R696,ISIN!$C:$C,0))),)</f>
        <v/>
      </c>
      <c r="R696" s="36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5" t="str">
        <f t="shared" si="1"/>
        <v/>
      </c>
      <c r="T696" s="37" t="str">
        <f t="shared" si="2"/>
        <v/>
      </c>
      <c r="U696" s="38" t="str">
        <f t="shared" si="3"/>
        <v/>
      </c>
      <c r="V696" s="32" t="str">
        <f t="shared" si="4"/>
        <v/>
      </c>
      <c r="W696" s="39" t="str">
        <f>IFERROR(__xludf.DUMMYFUNCTION(" IF(Account!$F696&lt;&gt;"""", SPLIT(Account!$F696, "" ""), """")"),"")</f>
        <v/>
      </c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</row>
    <row r="697">
      <c r="A697" s="12"/>
      <c r="B697" s="12"/>
      <c r="C697" s="12"/>
      <c r="D697" s="291"/>
      <c r="E697" s="291"/>
      <c r="F697" s="13"/>
      <c r="G697" s="291"/>
      <c r="H697" s="12"/>
      <c r="I697" s="12"/>
      <c r="J697" s="12"/>
      <c r="K697" s="12"/>
      <c r="L697" s="335"/>
      <c r="M697" s="30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2" t="str">
        <f>IFERROR(__xludf.DUMMYFUNCTION("IF(Account!$F697&lt;&gt;"""", VALUE(REGEXREPLACE($I697, ""\,"", ""."")), """")"),"")</f>
        <v/>
      </c>
      <c r="O697" s="33" t="str">
        <f>IF(Account!$F697&lt;&gt;"", DATEVALUE(MID($A697,4,3) &amp; LEFT($A697,3) &amp; RIGHT($A697,4)) + TIMEVALUE($B697), "")</f>
        <v/>
      </c>
      <c r="P697" s="34" t="str">
        <f>IF(Account!$F697&lt;&gt;"", DATEVALUE(MID($C697,4,3) &amp; LEFT($C697,3) &amp; RIGHT($C697,4)), "")</f>
        <v/>
      </c>
      <c r="Q697" s="35" t="str">
        <f t="array" ref="Q697">IF($R697&lt;&gt;"",IFERROR(INDEX(ISIN!$B:$B,MATCH($R697,ISIN!$C:$C,0))),)</f>
        <v/>
      </c>
      <c r="R697" s="36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5" t="str">
        <f t="shared" si="1"/>
        <v/>
      </c>
      <c r="T697" s="37" t="str">
        <f t="shared" si="2"/>
        <v/>
      </c>
      <c r="U697" s="38" t="str">
        <f t="shared" si="3"/>
        <v/>
      </c>
      <c r="V697" s="32" t="str">
        <f t="shared" si="4"/>
        <v/>
      </c>
      <c r="W697" s="39" t="str">
        <f>IFERROR(__xludf.DUMMYFUNCTION(" IF(Account!$F697&lt;&gt;"""", SPLIT(Account!$F697, "" ""), """")"),"")</f>
        <v/>
      </c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</row>
    <row r="698">
      <c r="A698" s="12"/>
      <c r="B698" s="12"/>
      <c r="C698" s="12"/>
      <c r="D698" s="291"/>
      <c r="E698" s="291"/>
      <c r="F698" s="13"/>
      <c r="G698" s="12"/>
      <c r="H698" s="12"/>
      <c r="I698" s="12"/>
      <c r="J698" s="12"/>
      <c r="K698" s="12"/>
      <c r="L698" s="335"/>
      <c r="M698" s="30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2" t="str">
        <f>IFERROR(__xludf.DUMMYFUNCTION("IF(Account!$F698&lt;&gt;"""", VALUE(REGEXREPLACE($I698, ""\,"", ""."")), """")"),"")</f>
        <v/>
      </c>
      <c r="O698" s="33" t="str">
        <f>IF(Account!$F698&lt;&gt;"", DATEVALUE(MID($A698,4,3) &amp; LEFT($A698,3) &amp; RIGHT($A698,4)) + TIMEVALUE($B698), "")</f>
        <v/>
      </c>
      <c r="P698" s="34" t="str">
        <f>IF(Account!$F698&lt;&gt;"", DATEVALUE(MID($C698,4,3) &amp; LEFT($C698,3) &amp; RIGHT($C698,4)), "")</f>
        <v/>
      </c>
      <c r="Q698" s="35" t="str">
        <f t="array" ref="Q698">IF($R698&lt;&gt;"",IFERROR(INDEX(ISIN!$B:$B,MATCH($R698,ISIN!$C:$C,0))),)</f>
        <v/>
      </c>
      <c r="R698" s="36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5" t="str">
        <f t="shared" si="1"/>
        <v/>
      </c>
      <c r="T698" s="37" t="str">
        <f t="shared" si="2"/>
        <v/>
      </c>
      <c r="U698" s="38" t="str">
        <f t="shared" si="3"/>
        <v/>
      </c>
      <c r="V698" s="32" t="str">
        <f t="shared" si="4"/>
        <v/>
      </c>
      <c r="W698" s="39" t="str">
        <f>IFERROR(__xludf.DUMMYFUNCTION(" IF(Account!$F698&lt;&gt;"""", SPLIT(Account!$F698, "" ""), """")"),"")</f>
        <v/>
      </c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</row>
    <row r="699">
      <c r="A699" s="12"/>
      <c r="B699" s="12"/>
      <c r="C699" s="12"/>
      <c r="D699" s="12"/>
      <c r="E699" s="12"/>
      <c r="F699" s="13"/>
      <c r="G699" s="291"/>
      <c r="H699" s="12"/>
      <c r="I699" s="12"/>
      <c r="J699" s="12"/>
      <c r="K699" s="12"/>
      <c r="L699" s="335"/>
      <c r="M699" s="30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2" t="str">
        <f>IFERROR(__xludf.DUMMYFUNCTION("IF(Account!$F699&lt;&gt;"""", VALUE(REGEXREPLACE($I699, ""\,"", ""."")), """")"),"")</f>
        <v/>
      </c>
      <c r="O699" s="33" t="str">
        <f>IF(Account!$F699&lt;&gt;"", DATEVALUE(MID($A699,4,3) &amp; LEFT($A699,3) &amp; RIGHT($A699,4)) + TIMEVALUE($B699), "")</f>
        <v/>
      </c>
      <c r="P699" s="34" t="str">
        <f>IF(Account!$F699&lt;&gt;"", DATEVALUE(MID($C699,4,3) &amp; LEFT($C699,3) &amp; RIGHT($C699,4)), "")</f>
        <v/>
      </c>
      <c r="Q699" s="35" t="str">
        <f t="array" ref="Q699">IF($R699&lt;&gt;"",IFERROR(INDEX(ISIN!$B:$B,MATCH($R699,ISIN!$C:$C,0))),)</f>
        <v/>
      </c>
      <c r="R699" s="36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5" t="str">
        <f t="shared" si="1"/>
        <v/>
      </c>
      <c r="T699" s="37" t="str">
        <f t="shared" si="2"/>
        <v/>
      </c>
      <c r="U699" s="38" t="str">
        <f t="shared" si="3"/>
        <v/>
      </c>
      <c r="V699" s="32" t="str">
        <f t="shared" si="4"/>
        <v/>
      </c>
      <c r="W699" s="39" t="str">
        <f>IFERROR(__xludf.DUMMYFUNCTION(" IF(Account!$F699&lt;&gt;"""", SPLIT(Account!$F699, "" ""), """")"),"")</f>
        <v/>
      </c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</row>
    <row r="700">
      <c r="A700" s="12"/>
      <c r="B700" s="12"/>
      <c r="C700" s="12"/>
      <c r="D700" s="12"/>
      <c r="E700" s="12"/>
      <c r="F700" s="13"/>
      <c r="G700" s="291"/>
      <c r="H700" s="291"/>
      <c r="I700" s="291"/>
      <c r="J700" s="12"/>
      <c r="K700" s="12"/>
      <c r="L700" s="335"/>
      <c r="M700" s="30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2" t="str">
        <f>IFERROR(__xludf.DUMMYFUNCTION("IF(Account!$F700&lt;&gt;"""", VALUE(REGEXREPLACE($I700, ""\,"", ""."")), """")"),"")</f>
        <v/>
      </c>
      <c r="O700" s="33" t="str">
        <f>IF(Account!$F700&lt;&gt;"", DATEVALUE(MID($A700,4,3) &amp; LEFT($A700,3) &amp; RIGHT($A700,4)) + TIMEVALUE($B700), "")</f>
        <v/>
      </c>
      <c r="P700" s="34" t="str">
        <f>IF(Account!$F700&lt;&gt;"", DATEVALUE(MID($C700,4,3) &amp; LEFT($C700,3) &amp; RIGHT($C700,4)), "")</f>
        <v/>
      </c>
      <c r="Q700" s="35" t="str">
        <f t="array" ref="Q700">IF($R700&lt;&gt;"",IFERROR(INDEX(ISIN!$B:$B,MATCH($R700,ISIN!$C:$C,0))),)</f>
        <v/>
      </c>
      <c r="R700" s="36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5" t="str">
        <f t="shared" si="1"/>
        <v/>
      </c>
      <c r="T700" s="37" t="str">
        <f t="shared" si="2"/>
        <v/>
      </c>
      <c r="U700" s="38" t="str">
        <f t="shared" si="3"/>
        <v/>
      </c>
      <c r="V700" s="32" t="str">
        <f t="shared" si="4"/>
        <v/>
      </c>
      <c r="W700" s="39" t="str">
        <f>IFERROR(__xludf.DUMMYFUNCTION(" IF(Account!$F700&lt;&gt;"""", SPLIT(Account!$F700, "" ""), """")"),"")</f>
        <v/>
      </c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</row>
    <row r="701">
      <c r="A701" s="12"/>
      <c r="B701" s="12"/>
      <c r="C701" s="12"/>
      <c r="D701" s="291"/>
      <c r="E701" s="291"/>
      <c r="F701" s="13"/>
      <c r="G701" s="291"/>
      <c r="H701" s="12"/>
      <c r="I701" s="12"/>
      <c r="J701" s="12"/>
      <c r="K701" s="12"/>
      <c r="L701" s="335"/>
      <c r="M701" s="30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2" t="str">
        <f>IFERROR(__xludf.DUMMYFUNCTION("IF(Account!$F701&lt;&gt;"""", VALUE(REGEXREPLACE($I701, ""\,"", ""."")), """")"),"")</f>
        <v/>
      </c>
      <c r="O701" s="33" t="str">
        <f>IF(Account!$F701&lt;&gt;"", DATEVALUE(MID($A701,4,3) &amp; LEFT($A701,3) &amp; RIGHT($A701,4)) + TIMEVALUE($B701), "")</f>
        <v/>
      </c>
      <c r="P701" s="34" t="str">
        <f>IF(Account!$F701&lt;&gt;"", DATEVALUE(MID($C701,4,3) &amp; LEFT($C701,3) &amp; RIGHT($C701,4)), "")</f>
        <v/>
      </c>
      <c r="Q701" s="35" t="str">
        <f t="array" ref="Q701">IF($R701&lt;&gt;"",IFERROR(INDEX(ISIN!$B:$B,MATCH($R701,ISIN!$C:$C,0))),)</f>
        <v/>
      </c>
      <c r="R701" s="36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5" t="str">
        <f t="shared" si="1"/>
        <v/>
      </c>
      <c r="T701" s="37" t="str">
        <f t="shared" si="2"/>
        <v/>
      </c>
      <c r="U701" s="38" t="str">
        <f t="shared" si="3"/>
        <v/>
      </c>
      <c r="V701" s="32" t="str">
        <f t="shared" si="4"/>
        <v/>
      </c>
      <c r="W701" s="39" t="str">
        <f>IFERROR(__xludf.DUMMYFUNCTION(" IF(Account!$F701&lt;&gt;"""", SPLIT(Account!$F701, "" ""), """")"),"")</f>
        <v/>
      </c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</row>
    <row r="702">
      <c r="A702" s="12"/>
      <c r="B702" s="12"/>
      <c r="C702" s="12"/>
      <c r="D702" s="291"/>
      <c r="E702" s="291"/>
      <c r="F702" s="13"/>
      <c r="G702" s="12"/>
      <c r="H702" s="12"/>
      <c r="I702" s="12"/>
      <c r="J702" s="12"/>
      <c r="K702" s="12"/>
      <c r="L702" s="335"/>
      <c r="M702" s="30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2" t="str">
        <f>IFERROR(__xludf.DUMMYFUNCTION("IF(Account!$F702&lt;&gt;"""", VALUE(REGEXREPLACE($I702, ""\,"", ""."")), """")"),"")</f>
        <v/>
      </c>
      <c r="O702" s="33" t="str">
        <f>IF(Account!$F702&lt;&gt;"", DATEVALUE(MID($A702,4,3) &amp; LEFT($A702,3) &amp; RIGHT($A702,4)) + TIMEVALUE($B702), "")</f>
        <v/>
      </c>
      <c r="P702" s="34" t="str">
        <f>IF(Account!$F702&lt;&gt;"", DATEVALUE(MID($C702,4,3) &amp; LEFT($C702,3) &amp; RIGHT($C702,4)), "")</f>
        <v/>
      </c>
      <c r="Q702" s="35" t="str">
        <f t="array" ref="Q702">IF($R702&lt;&gt;"",IFERROR(INDEX(ISIN!$B:$B,MATCH($R702,ISIN!$C:$C,0))),)</f>
        <v/>
      </c>
      <c r="R702" s="36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5" t="str">
        <f t="shared" si="1"/>
        <v/>
      </c>
      <c r="T702" s="37" t="str">
        <f t="shared" si="2"/>
        <v/>
      </c>
      <c r="U702" s="38" t="str">
        <f t="shared" si="3"/>
        <v/>
      </c>
      <c r="V702" s="32" t="str">
        <f t="shared" si="4"/>
        <v/>
      </c>
      <c r="W702" s="39" t="str">
        <f>IFERROR(__xludf.DUMMYFUNCTION(" IF(Account!$F702&lt;&gt;"""", SPLIT(Account!$F702, "" ""), """")"),"")</f>
        <v/>
      </c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</row>
    <row r="703">
      <c r="A703" s="12"/>
      <c r="B703" s="12"/>
      <c r="C703" s="12"/>
      <c r="D703" s="12"/>
      <c r="E703" s="12"/>
      <c r="F703" s="13"/>
      <c r="G703" s="291"/>
      <c r="H703" s="291"/>
      <c r="I703" s="291"/>
      <c r="J703" s="12"/>
      <c r="K703" s="12"/>
      <c r="L703" s="335"/>
      <c r="M703" s="30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2" t="str">
        <f>IFERROR(__xludf.DUMMYFUNCTION("IF(Account!$F703&lt;&gt;"""", VALUE(REGEXREPLACE($I703, ""\,"", ""."")), """")"),"")</f>
        <v/>
      </c>
      <c r="O703" s="33" t="str">
        <f>IF(Account!$F703&lt;&gt;"", DATEVALUE(MID($A703,4,3) &amp; LEFT($A703,3) &amp; RIGHT($A703,4)) + TIMEVALUE($B703), "")</f>
        <v/>
      </c>
      <c r="P703" s="34" t="str">
        <f>IF(Account!$F703&lt;&gt;"", DATEVALUE(MID($C703,4,3) &amp; LEFT($C703,3) &amp; RIGHT($C703,4)), "")</f>
        <v/>
      </c>
      <c r="Q703" s="35" t="str">
        <f t="array" ref="Q703">IF($R703&lt;&gt;"",IFERROR(INDEX(ISIN!$B:$B,MATCH($R703,ISIN!$C:$C,0))),)</f>
        <v/>
      </c>
      <c r="R703" s="36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5" t="str">
        <f t="shared" si="1"/>
        <v/>
      </c>
      <c r="T703" s="37" t="str">
        <f t="shared" si="2"/>
        <v/>
      </c>
      <c r="U703" s="38" t="str">
        <f t="shared" si="3"/>
        <v/>
      </c>
      <c r="V703" s="32" t="str">
        <f t="shared" si="4"/>
        <v/>
      </c>
      <c r="W703" s="39" t="str">
        <f>IFERROR(__xludf.DUMMYFUNCTION(" IF(Account!$F703&lt;&gt;"""", SPLIT(Account!$F703, "" ""), """")"),"")</f>
        <v/>
      </c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</row>
    <row r="704">
      <c r="A704" s="12"/>
      <c r="B704" s="12"/>
      <c r="C704" s="12"/>
      <c r="D704" s="12"/>
      <c r="E704" s="12"/>
      <c r="F704" s="13"/>
      <c r="G704" s="291"/>
      <c r="H704" s="12"/>
      <c r="I704" s="12"/>
      <c r="J704" s="12"/>
      <c r="K704" s="12"/>
      <c r="L704" s="335"/>
      <c r="M704" s="30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2" t="str">
        <f>IFERROR(__xludf.DUMMYFUNCTION("IF(Account!$F704&lt;&gt;"""", VALUE(REGEXREPLACE($I704, ""\,"", ""."")), """")"),"")</f>
        <v/>
      </c>
      <c r="O704" s="33" t="str">
        <f>IF(Account!$F704&lt;&gt;"", DATEVALUE(MID($A704,4,3) &amp; LEFT($A704,3) &amp; RIGHT($A704,4)) + TIMEVALUE($B704), "")</f>
        <v/>
      </c>
      <c r="P704" s="34" t="str">
        <f>IF(Account!$F704&lt;&gt;"", DATEVALUE(MID($C704,4,3) &amp; LEFT($C704,3) &amp; RIGHT($C704,4)), "")</f>
        <v/>
      </c>
      <c r="Q704" s="35" t="str">
        <f t="array" ref="Q704">IF($R704&lt;&gt;"",IFERROR(INDEX(ISIN!$B:$B,MATCH($R704,ISIN!$C:$C,0))),)</f>
        <v/>
      </c>
      <c r="R704" s="36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5" t="str">
        <f t="shared" si="1"/>
        <v/>
      </c>
      <c r="T704" s="37" t="str">
        <f t="shared" si="2"/>
        <v/>
      </c>
      <c r="U704" s="38" t="str">
        <f t="shared" si="3"/>
        <v/>
      </c>
      <c r="V704" s="32" t="str">
        <f t="shared" si="4"/>
        <v/>
      </c>
      <c r="W704" s="39" t="str">
        <f>IFERROR(__xludf.DUMMYFUNCTION(" IF(Account!$F704&lt;&gt;"""", SPLIT(Account!$F704, "" ""), """")"),"")</f>
        <v/>
      </c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</row>
    <row r="705">
      <c r="A705" s="12"/>
      <c r="B705" s="12"/>
      <c r="C705" s="12"/>
      <c r="D705" s="12"/>
      <c r="E705" s="12"/>
      <c r="F705" s="13"/>
      <c r="G705" s="291"/>
      <c r="H705" s="12"/>
      <c r="I705" s="12"/>
      <c r="J705" s="12"/>
      <c r="K705" s="12"/>
      <c r="L705" s="335"/>
      <c r="M705" s="30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2" t="str">
        <f>IFERROR(__xludf.DUMMYFUNCTION("IF(Account!$F705&lt;&gt;"""", VALUE(REGEXREPLACE($I705, ""\,"", ""."")), """")"),"")</f>
        <v/>
      </c>
      <c r="O705" s="33" t="str">
        <f>IF(Account!$F705&lt;&gt;"", DATEVALUE(MID($A705,4,3) &amp; LEFT($A705,3) &amp; RIGHT($A705,4)) + TIMEVALUE($B705), "")</f>
        <v/>
      </c>
      <c r="P705" s="34" t="str">
        <f>IF(Account!$F705&lt;&gt;"", DATEVALUE(MID($C705,4,3) &amp; LEFT($C705,3) &amp; RIGHT($C705,4)), "")</f>
        <v/>
      </c>
      <c r="Q705" s="35" t="str">
        <f t="array" ref="Q705">IF($R705&lt;&gt;"",IFERROR(INDEX(ISIN!$B:$B,MATCH($R705,ISIN!$C:$C,0))),)</f>
        <v/>
      </c>
      <c r="R705" s="36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5" t="str">
        <f t="shared" si="1"/>
        <v/>
      </c>
      <c r="T705" s="37" t="str">
        <f t="shared" si="2"/>
        <v/>
      </c>
      <c r="U705" s="38" t="str">
        <f t="shared" si="3"/>
        <v/>
      </c>
      <c r="V705" s="32" t="str">
        <f t="shared" si="4"/>
        <v/>
      </c>
      <c r="W705" s="39" t="str">
        <f>IFERROR(__xludf.DUMMYFUNCTION(" IF(Account!$F705&lt;&gt;"""", SPLIT(Account!$F705, "" ""), """")"),"")</f>
        <v/>
      </c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</row>
    <row r="706">
      <c r="A706" s="12"/>
      <c r="B706" s="12"/>
      <c r="C706" s="12"/>
      <c r="D706" s="12"/>
      <c r="E706" s="12"/>
      <c r="F706" s="13"/>
      <c r="G706" s="291"/>
      <c r="H706" s="291"/>
      <c r="I706" s="291"/>
      <c r="J706" s="12"/>
      <c r="K706" s="12"/>
      <c r="L706" s="335"/>
      <c r="M706" s="30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2" t="str">
        <f>IFERROR(__xludf.DUMMYFUNCTION("IF(Account!$F706&lt;&gt;"""", VALUE(REGEXREPLACE($I706, ""\,"", ""."")), """")"),"")</f>
        <v/>
      </c>
      <c r="O706" s="33" t="str">
        <f>IF(Account!$F706&lt;&gt;"", DATEVALUE(MID($A706,4,3) &amp; LEFT($A706,3) &amp; RIGHT($A706,4)) + TIMEVALUE($B706), "")</f>
        <v/>
      </c>
      <c r="P706" s="34" t="str">
        <f>IF(Account!$F706&lt;&gt;"", DATEVALUE(MID($C706,4,3) &amp; LEFT($C706,3) &amp; RIGHT($C706,4)), "")</f>
        <v/>
      </c>
      <c r="Q706" s="35" t="str">
        <f t="array" ref="Q706">IF($R706&lt;&gt;"",IFERROR(INDEX(ISIN!$B:$B,MATCH($R706,ISIN!$C:$C,0))),)</f>
        <v/>
      </c>
      <c r="R706" s="36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5" t="str">
        <f t="shared" si="1"/>
        <v/>
      </c>
      <c r="T706" s="37" t="str">
        <f t="shared" si="2"/>
        <v/>
      </c>
      <c r="U706" s="38" t="str">
        <f t="shared" si="3"/>
        <v/>
      </c>
      <c r="V706" s="32" t="str">
        <f t="shared" si="4"/>
        <v/>
      </c>
      <c r="W706" s="39" t="str">
        <f>IFERROR(__xludf.DUMMYFUNCTION(" IF(Account!$F706&lt;&gt;"""", SPLIT(Account!$F706, "" ""), """")"),"")</f>
        <v/>
      </c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</row>
    <row r="707">
      <c r="A707" s="12"/>
      <c r="B707" s="12"/>
      <c r="C707" s="12"/>
      <c r="D707" s="291"/>
      <c r="E707" s="291"/>
      <c r="F707" s="13"/>
      <c r="G707" s="291"/>
      <c r="H707" s="12"/>
      <c r="I707" s="12"/>
      <c r="J707" s="12"/>
      <c r="K707" s="12"/>
      <c r="L707" s="335"/>
      <c r="M707" s="30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2" t="str">
        <f>IFERROR(__xludf.DUMMYFUNCTION("IF(Account!$F707&lt;&gt;"""", VALUE(REGEXREPLACE($I707, ""\,"", ""."")), """")"),"")</f>
        <v/>
      </c>
      <c r="O707" s="33" t="str">
        <f>IF(Account!$F707&lt;&gt;"", DATEVALUE(MID($A707,4,3) &amp; LEFT($A707,3) &amp; RIGHT($A707,4)) + TIMEVALUE($B707), "")</f>
        <v/>
      </c>
      <c r="P707" s="34" t="str">
        <f>IF(Account!$F707&lt;&gt;"", DATEVALUE(MID($C707,4,3) &amp; LEFT($C707,3) &amp; RIGHT($C707,4)), "")</f>
        <v/>
      </c>
      <c r="Q707" s="35" t="str">
        <f t="array" ref="Q707">IF($R707&lt;&gt;"",IFERROR(INDEX(ISIN!$B:$B,MATCH($R707,ISIN!$C:$C,0))),)</f>
        <v/>
      </c>
      <c r="R707" s="36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5" t="str">
        <f t="shared" si="1"/>
        <v/>
      </c>
      <c r="T707" s="37" t="str">
        <f t="shared" si="2"/>
        <v/>
      </c>
      <c r="U707" s="38" t="str">
        <f t="shared" si="3"/>
        <v/>
      </c>
      <c r="V707" s="32" t="str">
        <f t="shared" si="4"/>
        <v/>
      </c>
      <c r="W707" s="39" t="str">
        <f>IFERROR(__xludf.DUMMYFUNCTION(" IF(Account!$F707&lt;&gt;"""", SPLIT(Account!$F707, "" ""), """")"),"")</f>
        <v/>
      </c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</row>
    <row r="708">
      <c r="A708" s="12"/>
      <c r="B708" s="12"/>
      <c r="C708" s="12"/>
      <c r="D708" s="291"/>
      <c r="E708" s="291"/>
      <c r="F708" s="13"/>
      <c r="G708" s="12"/>
      <c r="H708" s="12"/>
      <c r="I708" s="12"/>
      <c r="J708" s="12"/>
      <c r="K708" s="12"/>
      <c r="L708" s="335"/>
      <c r="M708" s="30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2" t="str">
        <f>IFERROR(__xludf.DUMMYFUNCTION("IF(Account!$F708&lt;&gt;"""", VALUE(REGEXREPLACE($I708, ""\,"", ""."")), """")"),"")</f>
        <v/>
      </c>
      <c r="O708" s="33" t="str">
        <f>IF(Account!$F708&lt;&gt;"", DATEVALUE(MID($A708,4,3) &amp; LEFT($A708,3) &amp; RIGHT($A708,4)) + TIMEVALUE($B708), "")</f>
        <v/>
      </c>
      <c r="P708" s="34" t="str">
        <f>IF(Account!$F708&lt;&gt;"", DATEVALUE(MID($C708,4,3) &amp; LEFT($C708,3) &amp; RIGHT($C708,4)), "")</f>
        <v/>
      </c>
      <c r="Q708" s="35" t="str">
        <f t="array" ref="Q708">IF($R708&lt;&gt;"",IFERROR(INDEX(ISIN!$B:$B,MATCH($R708,ISIN!$C:$C,0))),)</f>
        <v/>
      </c>
      <c r="R708" s="36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5" t="str">
        <f t="shared" si="1"/>
        <v/>
      </c>
      <c r="T708" s="37" t="str">
        <f t="shared" si="2"/>
        <v/>
      </c>
      <c r="U708" s="38" t="str">
        <f t="shared" si="3"/>
        <v/>
      </c>
      <c r="V708" s="32" t="str">
        <f t="shared" si="4"/>
        <v/>
      </c>
      <c r="W708" s="39" t="str">
        <f>IFERROR(__xludf.DUMMYFUNCTION(" IF(Account!$F708&lt;&gt;"""", SPLIT(Account!$F708, "" ""), """")"),"")</f>
        <v/>
      </c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</row>
    <row r="709">
      <c r="A709" s="12"/>
      <c r="B709" s="12"/>
      <c r="C709" s="12"/>
      <c r="D709" s="12"/>
      <c r="E709" s="12"/>
      <c r="F709" s="13"/>
      <c r="G709" s="291"/>
      <c r="H709" s="291"/>
      <c r="I709" s="291"/>
      <c r="J709" s="12"/>
      <c r="K709" s="12"/>
      <c r="L709" s="335"/>
      <c r="M709" s="30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2" t="str">
        <f>IFERROR(__xludf.DUMMYFUNCTION("IF(Account!$F709&lt;&gt;"""", VALUE(REGEXREPLACE($I709, ""\,"", ""."")), """")"),"")</f>
        <v/>
      </c>
      <c r="O709" s="33" t="str">
        <f>IF(Account!$F709&lt;&gt;"", DATEVALUE(MID($A709,4,3) &amp; LEFT($A709,3) &amp; RIGHT($A709,4)) + TIMEVALUE($B709), "")</f>
        <v/>
      </c>
      <c r="P709" s="34" t="str">
        <f>IF(Account!$F709&lt;&gt;"", DATEVALUE(MID($C709,4,3) &amp; LEFT($C709,3) &amp; RIGHT($C709,4)), "")</f>
        <v/>
      </c>
      <c r="Q709" s="35" t="str">
        <f t="array" ref="Q709">IF($R709&lt;&gt;"",IFERROR(INDEX(ISIN!$B:$B,MATCH($R709,ISIN!$C:$C,0))),)</f>
        <v/>
      </c>
      <c r="R709" s="36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5" t="str">
        <f t="shared" si="1"/>
        <v/>
      </c>
      <c r="T709" s="37" t="str">
        <f t="shared" si="2"/>
        <v/>
      </c>
      <c r="U709" s="38" t="str">
        <f t="shared" si="3"/>
        <v/>
      </c>
      <c r="V709" s="32" t="str">
        <f t="shared" si="4"/>
        <v/>
      </c>
      <c r="W709" s="39" t="str">
        <f>IFERROR(__xludf.DUMMYFUNCTION(" IF(Account!$F709&lt;&gt;"""", SPLIT(Account!$F709, "" ""), """")"),"")</f>
        <v/>
      </c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</row>
    <row r="710">
      <c r="A710" s="12"/>
      <c r="B710" s="12"/>
      <c r="C710" s="12"/>
      <c r="D710" s="12"/>
      <c r="E710" s="12"/>
      <c r="F710" s="13"/>
      <c r="G710" s="291"/>
      <c r="H710" s="12"/>
      <c r="I710" s="12"/>
      <c r="J710" s="12"/>
      <c r="K710" s="12"/>
      <c r="L710" s="335"/>
      <c r="M710" s="30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2" t="str">
        <f>IFERROR(__xludf.DUMMYFUNCTION("IF(Account!$F710&lt;&gt;"""", VALUE(REGEXREPLACE($I710, ""\,"", ""."")), """")"),"")</f>
        <v/>
      </c>
      <c r="O710" s="33" t="str">
        <f>IF(Account!$F710&lt;&gt;"", DATEVALUE(MID($A710,4,3) &amp; LEFT($A710,3) &amp; RIGHT($A710,4)) + TIMEVALUE($B710), "")</f>
        <v/>
      </c>
      <c r="P710" s="34" t="str">
        <f>IF(Account!$F710&lt;&gt;"", DATEVALUE(MID($C710,4,3) &amp; LEFT($C710,3) &amp; RIGHT($C710,4)), "")</f>
        <v/>
      </c>
      <c r="Q710" s="35" t="str">
        <f t="array" ref="Q710">IF($R710&lt;&gt;"",IFERROR(INDEX(ISIN!$B:$B,MATCH($R710,ISIN!$C:$C,0))),)</f>
        <v/>
      </c>
      <c r="R710" s="36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5" t="str">
        <f t="shared" si="1"/>
        <v/>
      </c>
      <c r="T710" s="37" t="str">
        <f t="shared" si="2"/>
        <v/>
      </c>
      <c r="U710" s="38" t="str">
        <f t="shared" si="3"/>
        <v/>
      </c>
      <c r="V710" s="32" t="str">
        <f t="shared" si="4"/>
        <v/>
      </c>
      <c r="W710" s="39" t="str">
        <f>IFERROR(__xludf.DUMMYFUNCTION(" IF(Account!$F710&lt;&gt;"""", SPLIT(Account!$F710, "" ""), """")"),"")</f>
        <v/>
      </c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</row>
    <row r="711">
      <c r="A711" s="12"/>
      <c r="B711" s="12"/>
      <c r="C711" s="12"/>
      <c r="D711" s="12"/>
      <c r="E711" s="12"/>
      <c r="F711" s="13"/>
      <c r="G711" s="291"/>
      <c r="H711" s="12"/>
      <c r="I711" s="12"/>
      <c r="J711" s="12"/>
      <c r="K711" s="12"/>
      <c r="L711" s="335"/>
      <c r="M711" s="30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2" t="str">
        <f>IFERROR(__xludf.DUMMYFUNCTION("IF(Account!$F711&lt;&gt;"""", VALUE(REGEXREPLACE($I711, ""\,"", ""."")), """")"),"")</f>
        <v/>
      </c>
      <c r="O711" s="33" t="str">
        <f>IF(Account!$F711&lt;&gt;"", DATEVALUE(MID($A711,4,3) &amp; LEFT($A711,3) &amp; RIGHT($A711,4)) + TIMEVALUE($B711), "")</f>
        <v/>
      </c>
      <c r="P711" s="34" t="str">
        <f>IF(Account!$F711&lt;&gt;"", DATEVALUE(MID($C711,4,3) &amp; LEFT($C711,3) &amp; RIGHT($C711,4)), "")</f>
        <v/>
      </c>
      <c r="Q711" s="35" t="str">
        <f t="array" ref="Q711">IF($R711&lt;&gt;"",IFERROR(INDEX(ISIN!$B:$B,MATCH($R711,ISIN!$C:$C,0))),)</f>
        <v/>
      </c>
      <c r="R711" s="36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5" t="str">
        <f t="shared" si="1"/>
        <v/>
      </c>
      <c r="T711" s="37" t="str">
        <f t="shared" si="2"/>
        <v/>
      </c>
      <c r="U711" s="38" t="str">
        <f t="shared" si="3"/>
        <v/>
      </c>
      <c r="V711" s="32" t="str">
        <f t="shared" si="4"/>
        <v/>
      </c>
      <c r="W711" s="39" t="str">
        <f>IFERROR(__xludf.DUMMYFUNCTION(" IF(Account!$F711&lt;&gt;"""", SPLIT(Account!$F711, "" ""), """")"),"")</f>
        <v/>
      </c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</row>
    <row r="712">
      <c r="A712" s="12"/>
      <c r="B712" s="12"/>
      <c r="C712" s="12"/>
      <c r="D712" s="291"/>
      <c r="E712" s="291"/>
      <c r="F712" s="13"/>
      <c r="G712" s="291"/>
      <c r="H712" s="12"/>
      <c r="I712" s="12"/>
      <c r="J712" s="12"/>
      <c r="K712" s="12"/>
      <c r="L712" s="335"/>
      <c r="M712" s="30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2" t="str">
        <f>IFERROR(__xludf.DUMMYFUNCTION("IF(Account!$F712&lt;&gt;"""", VALUE(REGEXREPLACE($I712, ""\,"", ""."")), """")"),"")</f>
        <v/>
      </c>
      <c r="O712" s="33" t="str">
        <f>IF(Account!$F712&lt;&gt;"", DATEVALUE(MID($A712,4,3) &amp; LEFT($A712,3) &amp; RIGHT($A712,4)) + TIMEVALUE($B712), "")</f>
        <v/>
      </c>
      <c r="P712" s="34" t="str">
        <f>IF(Account!$F712&lt;&gt;"", DATEVALUE(MID($C712,4,3) &amp; LEFT($C712,3) &amp; RIGHT($C712,4)), "")</f>
        <v/>
      </c>
      <c r="Q712" s="35" t="str">
        <f t="array" ref="Q712">IF($R712&lt;&gt;"",IFERROR(INDEX(ISIN!$B:$B,MATCH($R712,ISIN!$C:$C,0))),)</f>
        <v/>
      </c>
      <c r="R712" s="36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5" t="str">
        <f t="shared" si="1"/>
        <v/>
      </c>
      <c r="T712" s="37" t="str">
        <f t="shared" si="2"/>
        <v/>
      </c>
      <c r="U712" s="38" t="str">
        <f t="shared" si="3"/>
        <v/>
      </c>
      <c r="V712" s="32" t="str">
        <f t="shared" si="4"/>
        <v/>
      </c>
      <c r="W712" s="39" t="str">
        <f>IFERROR(__xludf.DUMMYFUNCTION(" IF(Account!$F712&lt;&gt;"""", SPLIT(Account!$F712, "" ""), """")"),"")</f>
        <v/>
      </c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</row>
    <row r="713">
      <c r="A713" s="12"/>
      <c r="B713" s="12"/>
      <c r="C713" s="12"/>
      <c r="D713" s="12"/>
      <c r="E713" s="12"/>
      <c r="F713" s="13"/>
      <c r="G713" s="291"/>
      <c r="H713" s="12"/>
      <c r="I713" s="12"/>
      <c r="J713" s="12"/>
      <c r="K713" s="12"/>
      <c r="L713" s="13"/>
      <c r="M713" s="30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2" t="str">
        <f>IFERROR(__xludf.DUMMYFUNCTION("IF(Account!$F713&lt;&gt;"""", VALUE(REGEXREPLACE($I713, ""\,"", ""."")), """")"),"")</f>
        <v/>
      </c>
      <c r="O713" s="33" t="str">
        <f>IF(Account!$F713&lt;&gt;"", DATEVALUE(MID($A713,4,3) &amp; LEFT($A713,3) &amp; RIGHT($A713,4)) + TIMEVALUE($B713), "")</f>
        <v/>
      </c>
      <c r="P713" s="34" t="str">
        <f>IF(Account!$F713&lt;&gt;"", DATEVALUE(MID($C713,4,3) &amp; LEFT($C713,3) &amp; RIGHT($C713,4)), "")</f>
        <v/>
      </c>
      <c r="Q713" s="35" t="str">
        <f t="array" ref="Q713">IF($R713&lt;&gt;"",IFERROR(INDEX(ISIN!$B:$B,MATCH($R713,ISIN!$C:$C,0))),)</f>
        <v/>
      </c>
      <c r="R713" s="36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5" t="str">
        <f t="shared" si="1"/>
        <v/>
      </c>
      <c r="T713" s="37" t="str">
        <f t="shared" si="2"/>
        <v/>
      </c>
      <c r="U713" s="38" t="str">
        <f t="shared" si="3"/>
        <v/>
      </c>
      <c r="V713" s="32" t="str">
        <f t="shared" si="4"/>
        <v/>
      </c>
      <c r="W713" s="39" t="str">
        <f>IFERROR(__xludf.DUMMYFUNCTION(" IF(Account!$F713&lt;&gt;"""", SPLIT(Account!$F713, "" ""), """")"),"")</f>
        <v/>
      </c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</row>
    <row r="714">
      <c r="A714" s="12"/>
      <c r="B714" s="12"/>
      <c r="C714" s="12"/>
      <c r="D714" s="12"/>
      <c r="E714" s="12"/>
      <c r="F714" s="13"/>
      <c r="G714" s="291"/>
      <c r="H714" s="12"/>
      <c r="I714" s="12"/>
      <c r="J714" s="12"/>
      <c r="K714" s="12"/>
      <c r="L714" s="13"/>
      <c r="M714" s="30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2" t="str">
        <f>IFERROR(__xludf.DUMMYFUNCTION("IF(Account!$F714&lt;&gt;"""", VALUE(REGEXREPLACE($I714, ""\,"", ""."")), """")"),"")</f>
        <v/>
      </c>
      <c r="O714" s="33" t="str">
        <f>IF(Account!$F714&lt;&gt;"", DATEVALUE(MID($A714,4,3) &amp; LEFT($A714,3) &amp; RIGHT($A714,4)) + TIMEVALUE($B714), "")</f>
        <v/>
      </c>
      <c r="P714" s="34" t="str">
        <f>IF(Account!$F714&lt;&gt;"", DATEVALUE(MID($C714,4,3) &amp; LEFT($C714,3) &amp; RIGHT($C714,4)), "")</f>
        <v/>
      </c>
      <c r="Q714" s="35" t="str">
        <f t="array" ref="Q714">IF($R714&lt;&gt;"",IFERROR(INDEX(ISIN!$B:$B,MATCH($R714,ISIN!$C:$C,0))),)</f>
        <v/>
      </c>
      <c r="R714" s="36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5" t="str">
        <f t="shared" si="1"/>
        <v/>
      </c>
      <c r="T714" s="37" t="str">
        <f t="shared" si="2"/>
        <v/>
      </c>
      <c r="U714" s="38" t="str">
        <f t="shared" si="3"/>
        <v/>
      </c>
      <c r="V714" s="32" t="str">
        <f t="shared" si="4"/>
        <v/>
      </c>
      <c r="W714" s="39" t="str">
        <f>IFERROR(__xludf.DUMMYFUNCTION(" IF(Account!$F714&lt;&gt;"""", SPLIT(Account!$F714, "" ""), """")"),"")</f>
        <v/>
      </c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</row>
    <row r="715">
      <c r="A715" s="12"/>
      <c r="B715" s="12"/>
      <c r="C715" s="12"/>
      <c r="D715" s="12"/>
      <c r="E715" s="12"/>
      <c r="F715" s="13"/>
      <c r="G715" s="291"/>
      <c r="H715" s="12"/>
      <c r="I715" s="12"/>
      <c r="J715" s="12"/>
      <c r="K715" s="12"/>
      <c r="L715" s="13"/>
      <c r="M715" s="30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2" t="str">
        <f>IFERROR(__xludf.DUMMYFUNCTION("IF(Account!$F715&lt;&gt;"""", VALUE(REGEXREPLACE($I715, ""\,"", ""."")), """")"),"")</f>
        <v/>
      </c>
      <c r="O715" s="33" t="str">
        <f>IF(Account!$F715&lt;&gt;"", DATEVALUE(MID($A715,4,3) &amp; LEFT($A715,3) &amp; RIGHT($A715,4)) + TIMEVALUE($B715), "")</f>
        <v/>
      </c>
      <c r="P715" s="34" t="str">
        <f>IF(Account!$F715&lt;&gt;"", DATEVALUE(MID($C715,4,3) &amp; LEFT($C715,3) &amp; RIGHT($C715,4)), "")</f>
        <v/>
      </c>
      <c r="Q715" s="35" t="str">
        <f t="array" ref="Q715">IF($R715&lt;&gt;"",IFERROR(INDEX(ISIN!$B:$B,MATCH($R715,ISIN!$C:$C,0))),)</f>
        <v/>
      </c>
      <c r="R715" s="36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5" t="str">
        <f t="shared" si="1"/>
        <v/>
      </c>
      <c r="T715" s="37" t="str">
        <f t="shared" si="2"/>
        <v/>
      </c>
      <c r="U715" s="38" t="str">
        <f t="shared" si="3"/>
        <v/>
      </c>
      <c r="V715" s="32" t="str">
        <f t="shared" si="4"/>
        <v/>
      </c>
      <c r="W715" s="39" t="str">
        <f>IFERROR(__xludf.DUMMYFUNCTION(" IF(Account!$F715&lt;&gt;"""", SPLIT(Account!$F715, "" ""), """")"),"")</f>
        <v/>
      </c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</row>
    <row r="716">
      <c r="A716" s="12"/>
      <c r="B716" s="12"/>
      <c r="C716" s="12"/>
      <c r="D716" s="12"/>
      <c r="E716" s="12"/>
      <c r="F716" s="13"/>
      <c r="G716" s="291"/>
      <c r="H716" s="12"/>
      <c r="I716" s="12"/>
      <c r="J716" s="12"/>
      <c r="K716" s="12"/>
      <c r="L716" s="13"/>
      <c r="M716" s="30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2" t="str">
        <f>IFERROR(__xludf.DUMMYFUNCTION("IF(Account!$F716&lt;&gt;"""", VALUE(REGEXREPLACE($I716, ""\,"", ""."")), """")"),"")</f>
        <v/>
      </c>
      <c r="O716" s="33" t="str">
        <f>IF(Account!$F716&lt;&gt;"", DATEVALUE(MID($A716,4,3) &amp; LEFT($A716,3) &amp; RIGHT($A716,4)) + TIMEVALUE($B716), "")</f>
        <v/>
      </c>
      <c r="P716" s="34" t="str">
        <f>IF(Account!$F716&lt;&gt;"", DATEVALUE(MID($C716,4,3) &amp; LEFT($C716,3) &amp; RIGHT($C716,4)), "")</f>
        <v/>
      </c>
      <c r="Q716" s="35" t="str">
        <f t="array" ref="Q716">IF($R716&lt;&gt;"",IFERROR(INDEX(ISIN!$B:$B,MATCH($R716,ISIN!$C:$C,0))),)</f>
        <v/>
      </c>
      <c r="R716" s="36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5" t="str">
        <f t="shared" si="1"/>
        <v/>
      </c>
      <c r="T716" s="37" t="str">
        <f t="shared" si="2"/>
        <v/>
      </c>
      <c r="U716" s="38" t="str">
        <f t="shared" si="3"/>
        <v/>
      </c>
      <c r="V716" s="32" t="str">
        <f t="shared" si="4"/>
        <v/>
      </c>
      <c r="W716" s="39" t="str">
        <f>IFERROR(__xludf.DUMMYFUNCTION(" IF(Account!$F716&lt;&gt;"""", SPLIT(Account!$F716, "" ""), """")"),"")</f>
        <v/>
      </c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</row>
    <row r="717">
      <c r="A717" s="12"/>
      <c r="B717" s="12"/>
      <c r="C717" s="12"/>
      <c r="D717" s="12"/>
      <c r="E717" s="12"/>
      <c r="F717" s="13"/>
      <c r="G717" s="291"/>
      <c r="H717" s="291"/>
      <c r="I717" s="291"/>
      <c r="J717" s="12"/>
      <c r="K717" s="12"/>
      <c r="L717" s="335"/>
      <c r="M717" s="30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2" t="str">
        <f>IFERROR(__xludf.DUMMYFUNCTION("IF(Account!$F717&lt;&gt;"""", VALUE(REGEXREPLACE($I717, ""\,"", ""."")), """")"),"")</f>
        <v/>
      </c>
      <c r="O717" s="33" t="str">
        <f>IF(Account!$F717&lt;&gt;"", DATEVALUE(MID($A717,4,3) &amp; LEFT($A717,3) &amp; RIGHT($A717,4)) + TIMEVALUE($B717), "")</f>
        <v/>
      </c>
      <c r="P717" s="34" t="str">
        <f>IF(Account!$F717&lt;&gt;"", DATEVALUE(MID($C717,4,3) &amp; LEFT($C717,3) &amp; RIGHT($C717,4)), "")</f>
        <v/>
      </c>
      <c r="Q717" s="35" t="str">
        <f t="array" ref="Q717">IF($R717&lt;&gt;"",IFERROR(INDEX(ISIN!$B:$B,MATCH($R717,ISIN!$C:$C,0))),)</f>
        <v/>
      </c>
      <c r="R717" s="36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5" t="str">
        <f t="shared" si="1"/>
        <v/>
      </c>
      <c r="T717" s="37" t="str">
        <f t="shared" si="2"/>
        <v/>
      </c>
      <c r="U717" s="38" t="str">
        <f t="shared" si="3"/>
        <v/>
      </c>
      <c r="V717" s="32" t="str">
        <f t="shared" si="4"/>
        <v/>
      </c>
      <c r="W717" s="39" t="str">
        <f>IFERROR(__xludf.DUMMYFUNCTION(" IF(Account!$F717&lt;&gt;"""", SPLIT(Account!$F717, "" ""), """")"),"")</f>
        <v/>
      </c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</row>
    <row r="718">
      <c r="A718" s="12"/>
      <c r="B718" s="12"/>
      <c r="C718" s="12"/>
      <c r="D718" s="291"/>
      <c r="E718" s="291"/>
      <c r="F718" s="13"/>
      <c r="G718" s="291"/>
      <c r="H718" s="12"/>
      <c r="I718" s="12"/>
      <c r="J718" s="12"/>
      <c r="K718" s="12"/>
      <c r="L718" s="335"/>
      <c r="M718" s="30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2" t="str">
        <f>IFERROR(__xludf.DUMMYFUNCTION("IF(Account!$F718&lt;&gt;"""", VALUE(REGEXREPLACE($I718, ""\,"", ""."")), """")"),"")</f>
        <v/>
      </c>
      <c r="O718" s="33" t="str">
        <f>IF(Account!$F718&lt;&gt;"", DATEVALUE(MID($A718,4,3) &amp; LEFT($A718,3) &amp; RIGHT($A718,4)) + TIMEVALUE($B718), "")</f>
        <v/>
      </c>
      <c r="P718" s="34" t="str">
        <f>IF(Account!$F718&lt;&gt;"", DATEVALUE(MID($C718,4,3) &amp; LEFT($C718,3) &amp; RIGHT($C718,4)), "")</f>
        <v/>
      </c>
      <c r="Q718" s="35" t="str">
        <f t="array" ref="Q718">IF($R718&lt;&gt;"",IFERROR(INDEX(ISIN!$B:$B,MATCH($R718,ISIN!$C:$C,0))),)</f>
        <v/>
      </c>
      <c r="R718" s="36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5" t="str">
        <f t="shared" si="1"/>
        <v/>
      </c>
      <c r="T718" s="37" t="str">
        <f t="shared" si="2"/>
        <v/>
      </c>
      <c r="U718" s="38" t="str">
        <f t="shared" si="3"/>
        <v/>
      </c>
      <c r="V718" s="32" t="str">
        <f t="shared" si="4"/>
        <v/>
      </c>
      <c r="W718" s="39" t="str">
        <f>IFERROR(__xludf.DUMMYFUNCTION(" IF(Account!$F718&lt;&gt;"""", SPLIT(Account!$F718, "" ""), """")"),"")</f>
        <v/>
      </c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</row>
    <row r="719">
      <c r="A719" s="12"/>
      <c r="B719" s="12"/>
      <c r="C719" s="12"/>
      <c r="D719" s="291"/>
      <c r="E719" s="291"/>
      <c r="F719" s="13"/>
      <c r="G719" s="12"/>
      <c r="H719" s="12"/>
      <c r="I719" s="12"/>
      <c r="J719" s="12"/>
      <c r="K719" s="12"/>
      <c r="L719" s="335"/>
      <c r="M719" s="30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2" t="str">
        <f>IFERROR(__xludf.DUMMYFUNCTION("IF(Account!$F719&lt;&gt;"""", VALUE(REGEXREPLACE($I719, ""\,"", ""."")), """")"),"")</f>
        <v/>
      </c>
      <c r="O719" s="33" t="str">
        <f>IF(Account!$F719&lt;&gt;"", DATEVALUE(MID($A719,4,3) &amp; LEFT($A719,3) &amp; RIGHT($A719,4)) + TIMEVALUE($B719), "")</f>
        <v/>
      </c>
      <c r="P719" s="34" t="str">
        <f>IF(Account!$F719&lt;&gt;"", DATEVALUE(MID($C719,4,3) &amp; LEFT($C719,3) &amp; RIGHT($C719,4)), "")</f>
        <v/>
      </c>
      <c r="Q719" s="35" t="str">
        <f t="array" ref="Q719">IF($R719&lt;&gt;"",IFERROR(INDEX(ISIN!$B:$B,MATCH($R719,ISIN!$C:$C,0))),)</f>
        <v/>
      </c>
      <c r="R719" s="36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5" t="str">
        <f t="shared" si="1"/>
        <v/>
      </c>
      <c r="T719" s="37" t="str">
        <f t="shared" si="2"/>
        <v/>
      </c>
      <c r="U719" s="38" t="str">
        <f t="shared" si="3"/>
        <v/>
      </c>
      <c r="V719" s="32" t="str">
        <f t="shared" si="4"/>
        <v/>
      </c>
      <c r="W719" s="39" t="str">
        <f>IFERROR(__xludf.DUMMYFUNCTION(" IF(Account!$F719&lt;&gt;"""", SPLIT(Account!$F719, "" ""), """")"),"")</f>
        <v/>
      </c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</row>
    <row r="720">
      <c r="A720" s="12"/>
      <c r="B720" s="12"/>
      <c r="C720" s="12"/>
      <c r="D720" s="12"/>
      <c r="E720" s="12"/>
      <c r="F720" s="13"/>
      <c r="G720" s="291"/>
      <c r="H720" s="291"/>
      <c r="I720" s="291"/>
      <c r="J720" s="12"/>
      <c r="K720" s="12"/>
      <c r="L720" s="335"/>
      <c r="M720" s="30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2" t="str">
        <f>IFERROR(__xludf.DUMMYFUNCTION("IF(Account!$F720&lt;&gt;"""", VALUE(REGEXREPLACE($I720, ""\,"", ""."")), """")"),"")</f>
        <v/>
      </c>
      <c r="O720" s="33" t="str">
        <f>IF(Account!$F720&lt;&gt;"", DATEVALUE(MID($A720,4,3) &amp; LEFT($A720,3) &amp; RIGHT($A720,4)) + TIMEVALUE($B720), "")</f>
        <v/>
      </c>
      <c r="P720" s="34" t="str">
        <f>IF(Account!$F720&lt;&gt;"", DATEVALUE(MID($C720,4,3) &amp; LEFT($C720,3) &amp; RIGHT($C720,4)), "")</f>
        <v/>
      </c>
      <c r="Q720" s="35" t="str">
        <f t="array" ref="Q720">IF($R720&lt;&gt;"",IFERROR(INDEX(ISIN!$B:$B,MATCH($R720,ISIN!$C:$C,0))),)</f>
        <v/>
      </c>
      <c r="R720" s="36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5" t="str">
        <f t="shared" si="1"/>
        <v/>
      </c>
      <c r="T720" s="37" t="str">
        <f t="shared" si="2"/>
        <v/>
      </c>
      <c r="U720" s="38" t="str">
        <f t="shared" si="3"/>
        <v/>
      </c>
      <c r="V720" s="32" t="str">
        <f t="shared" si="4"/>
        <v/>
      </c>
      <c r="W720" s="39" t="str">
        <f>IFERROR(__xludf.DUMMYFUNCTION(" IF(Account!$F720&lt;&gt;"""", SPLIT(Account!$F720, "" ""), """")"),"")</f>
        <v/>
      </c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</row>
    <row r="721">
      <c r="A721" s="12"/>
      <c r="B721" s="12"/>
      <c r="C721" s="12"/>
      <c r="D721" s="12"/>
      <c r="E721" s="12"/>
      <c r="F721" s="13"/>
      <c r="G721" s="291"/>
      <c r="H721" s="12"/>
      <c r="I721" s="12"/>
      <c r="J721" s="12"/>
      <c r="K721" s="12"/>
      <c r="L721" s="335"/>
      <c r="M721" s="30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2" t="str">
        <f>IFERROR(__xludf.DUMMYFUNCTION("IF(Account!$F721&lt;&gt;"""", VALUE(REGEXREPLACE($I721, ""\,"", ""."")), """")"),"")</f>
        <v/>
      </c>
      <c r="O721" s="33" t="str">
        <f>IF(Account!$F721&lt;&gt;"", DATEVALUE(MID($A721,4,3) &amp; LEFT($A721,3) &amp; RIGHT($A721,4)) + TIMEVALUE($B721), "")</f>
        <v/>
      </c>
      <c r="P721" s="34" t="str">
        <f>IF(Account!$F721&lt;&gt;"", DATEVALUE(MID($C721,4,3) &amp; LEFT($C721,3) &amp; RIGHT($C721,4)), "")</f>
        <v/>
      </c>
      <c r="Q721" s="35" t="str">
        <f t="array" ref="Q721">IF($R721&lt;&gt;"",IFERROR(INDEX(ISIN!$B:$B,MATCH($R721,ISIN!$C:$C,0))),)</f>
        <v/>
      </c>
      <c r="R721" s="36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5" t="str">
        <f t="shared" si="1"/>
        <v/>
      </c>
      <c r="T721" s="37" t="str">
        <f t="shared" si="2"/>
        <v/>
      </c>
      <c r="U721" s="38" t="str">
        <f t="shared" si="3"/>
        <v/>
      </c>
      <c r="V721" s="32" t="str">
        <f t="shared" si="4"/>
        <v/>
      </c>
      <c r="W721" s="39" t="str">
        <f>IFERROR(__xludf.DUMMYFUNCTION(" IF(Account!$F721&lt;&gt;"""", SPLIT(Account!$F721, "" ""), """")"),"")</f>
        <v/>
      </c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</row>
    <row r="722">
      <c r="A722" s="12"/>
      <c r="B722" s="12"/>
      <c r="C722" s="12"/>
      <c r="D722" s="12"/>
      <c r="E722" s="12"/>
      <c r="F722" s="13"/>
      <c r="G722" s="291"/>
      <c r="H722" s="12"/>
      <c r="I722" s="12"/>
      <c r="J722" s="12"/>
      <c r="K722" s="12"/>
      <c r="L722" s="335"/>
      <c r="M722" s="30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2" t="str">
        <f>IFERROR(__xludf.DUMMYFUNCTION("IF(Account!$F722&lt;&gt;"""", VALUE(REGEXREPLACE($I722, ""\,"", ""."")), """")"),"")</f>
        <v/>
      </c>
      <c r="O722" s="33" t="str">
        <f>IF(Account!$F722&lt;&gt;"", DATEVALUE(MID($A722,4,3) &amp; LEFT($A722,3) &amp; RIGHT($A722,4)) + TIMEVALUE($B722), "")</f>
        <v/>
      </c>
      <c r="P722" s="34" t="str">
        <f>IF(Account!$F722&lt;&gt;"", DATEVALUE(MID($C722,4,3) &amp; LEFT($C722,3) &amp; RIGHT($C722,4)), "")</f>
        <v/>
      </c>
      <c r="Q722" s="35" t="str">
        <f t="array" ref="Q722">IF($R722&lt;&gt;"",IFERROR(INDEX(ISIN!$B:$B,MATCH($R722,ISIN!$C:$C,0))),)</f>
        <v/>
      </c>
      <c r="R722" s="36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5" t="str">
        <f t="shared" si="1"/>
        <v/>
      </c>
      <c r="T722" s="37" t="str">
        <f t="shared" si="2"/>
        <v/>
      </c>
      <c r="U722" s="38" t="str">
        <f t="shared" si="3"/>
        <v/>
      </c>
      <c r="V722" s="32" t="str">
        <f t="shared" si="4"/>
        <v/>
      </c>
      <c r="W722" s="39" t="str">
        <f>IFERROR(__xludf.DUMMYFUNCTION(" IF(Account!$F722&lt;&gt;"""", SPLIT(Account!$F722, "" ""), """")"),"")</f>
        <v/>
      </c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</row>
    <row r="723">
      <c r="A723" s="12"/>
      <c r="B723" s="12"/>
      <c r="C723" s="12"/>
      <c r="D723" s="291"/>
      <c r="E723" s="291"/>
      <c r="F723" s="13"/>
      <c r="G723" s="291"/>
      <c r="H723" s="12"/>
      <c r="I723" s="12"/>
      <c r="J723" s="12"/>
      <c r="K723" s="12"/>
      <c r="L723" s="335"/>
      <c r="M723" s="30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2" t="str">
        <f>IFERROR(__xludf.DUMMYFUNCTION("IF(Account!$F723&lt;&gt;"""", VALUE(REGEXREPLACE($I723, ""\,"", ""."")), """")"),"")</f>
        <v/>
      </c>
      <c r="O723" s="33" t="str">
        <f>IF(Account!$F723&lt;&gt;"", DATEVALUE(MID($A723,4,3) &amp; LEFT($A723,3) &amp; RIGHT($A723,4)) + TIMEVALUE($B723), "")</f>
        <v/>
      </c>
      <c r="P723" s="34" t="str">
        <f>IF(Account!$F723&lt;&gt;"", DATEVALUE(MID($C723,4,3) &amp; LEFT($C723,3) &amp; RIGHT($C723,4)), "")</f>
        <v/>
      </c>
      <c r="Q723" s="35" t="str">
        <f t="array" ref="Q723">IF($R723&lt;&gt;"",IFERROR(INDEX(ISIN!$B:$B,MATCH($R723,ISIN!$C:$C,0))),)</f>
        <v/>
      </c>
      <c r="R723" s="36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5" t="str">
        <f t="shared" si="1"/>
        <v/>
      </c>
      <c r="T723" s="37" t="str">
        <f t="shared" si="2"/>
        <v/>
      </c>
      <c r="U723" s="38" t="str">
        <f t="shared" si="3"/>
        <v/>
      </c>
      <c r="V723" s="32" t="str">
        <f t="shared" si="4"/>
        <v/>
      </c>
      <c r="W723" s="39" t="str">
        <f>IFERROR(__xludf.DUMMYFUNCTION(" IF(Account!$F723&lt;&gt;"""", SPLIT(Account!$F723, "" ""), """")"),"")</f>
        <v/>
      </c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</row>
    <row r="724">
      <c r="A724" s="12"/>
      <c r="B724" s="12"/>
      <c r="C724" s="12"/>
      <c r="D724" s="291"/>
      <c r="E724" s="291"/>
      <c r="F724" s="13"/>
      <c r="G724" s="12"/>
      <c r="H724" s="12"/>
      <c r="I724" s="12"/>
      <c r="J724" s="12"/>
      <c r="K724" s="12"/>
      <c r="L724" s="335"/>
      <c r="M724" s="30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2" t="str">
        <f>IFERROR(__xludf.DUMMYFUNCTION("IF(Account!$F724&lt;&gt;"""", VALUE(REGEXREPLACE($I724, ""\,"", ""."")), """")"),"")</f>
        <v/>
      </c>
      <c r="O724" s="33" t="str">
        <f>IF(Account!$F724&lt;&gt;"", DATEVALUE(MID($A724,4,3) &amp; LEFT($A724,3) &amp; RIGHT($A724,4)) + TIMEVALUE($B724), "")</f>
        <v/>
      </c>
      <c r="P724" s="34" t="str">
        <f>IF(Account!$F724&lt;&gt;"", DATEVALUE(MID($C724,4,3) &amp; LEFT($C724,3) &amp; RIGHT($C724,4)), "")</f>
        <v/>
      </c>
      <c r="Q724" s="35" t="str">
        <f t="array" ref="Q724">IF($R724&lt;&gt;"",IFERROR(INDEX(ISIN!$B:$B,MATCH($R724,ISIN!$C:$C,0))),)</f>
        <v/>
      </c>
      <c r="R724" s="36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5" t="str">
        <f t="shared" si="1"/>
        <v/>
      </c>
      <c r="T724" s="37" t="str">
        <f t="shared" si="2"/>
        <v/>
      </c>
      <c r="U724" s="38" t="str">
        <f t="shared" si="3"/>
        <v/>
      </c>
      <c r="V724" s="32" t="str">
        <f t="shared" si="4"/>
        <v/>
      </c>
      <c r="W724" s="39" t="str">
        <f>IFERROR(__xludf.DUMMYFUNCTION(" IF(Account!$F724&lt;&gt;"""", SPLIT(Account!$F724, "" ""), """")"),"")</f>
        <v/>
      </c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</row>
    <row r="725">
      <c r="A725" s="12"/>
      <c r="B725" s="12"/>
      <c r="C725" s="12"/>
      <c r="D725" s="12"/>
      <c r="E725" s="12"/>
      <c r="F725" s="13"/>
      <c r="G725" s="291"/>
      <c r="H725" s="12"/>
      <c r="I725" s="12"/>
      <c r="J725" s="12"/>
      <c r="K725" s="12"/>
      <c r="L725" s="335"/>
      <c r="M725" s="30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2" t="str">
        <f>IFERROR(__xludf.DUMMYFUNCTION("IF(Account!$F725&lt;&gt;"""", VALUE(REGEXREPLACE($I725, ""\,"", ""."")), """")"),"")</f>
        <v/>
      </c>
      <c r="O725" s="33" t="str">
        <f>IF(Account!$F725&lt;&gt;"", DATEVALUE(MID($A725,4,3) &amp; LEFT($A725,3) &amp; RIGHT($A725,4)) + TIMEVALUE($B725), "")</f>
        <v/>
      </c>
      <c r="P725" s="34" t="str">
        <f>IF(Account!$F725&lt;&gt;"", DATEVALUE(MID($C725,4,3) &amp; LEFT($C725,3) &amp; RIGHT($C725,4)), "")</f>
        <v/>
      </c>
      <c r="Q725" s="35" t="str">
        <f t="array" ref="Q725">IF($R725&lt;&gt;"",IFERROR(INDEX(ISIN!$B:$B,MATCH($R725,ISIN!$C:$C,0))),)</f>
        <v/>
      </c>
      <c r="R725" s="36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5" t="str">
        <f t="shared" si="1"/>
        <v/>
      </c>
      <c r="T725" s="37" t="str">
        <f t="shared" si="2"/>
        <v/>
      </c>
      <c r="U725" s="38" t="str">
        <f t="shared" si="3"/>
        <v/>
      </c>
      <c r="V725" s="32" t="str">
        <f t="shared" si="4"/>
        <v/>
      </c>
      <c r="W725" s="39" t="str">
        <f>IFERROR(__xludf.DUMMYFUNCTION(" IF(Account!$F725&lt;&gt;"""", SPLIT(Account!$F725, "" ""), """")"),"")</f>
        <v/>
      </c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</row>
    <row r="726">
      <c r="A726" s="12"/>
      <c r="B726" s="12"/>
      <c r="C726" s="12"/>
      <c r="D726" s="12"/>
      <c r="E726" s="12"/>
      <c r="F726" s="13"/>
      <c r="G726" s="291"/>
      <c r="H726" s="12"/>
      <c r="I726" s="12"/>
      <c r="J726" s="12"/>
      <c r="K726" s="12"/>
      <c r="L726" s="13"/>
      <c r="M726" s="30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2" t="str">
        <f>IFERROR(__xludf.DUMMYFUNCTION("IF(Account!$F726&lt;&gt;"""", VALUE(REGEXREPLACE($I726, ""\,"", ""."")), """")"),"")</f>
        <v/>
      </c>
      <c r="O726" s="33" t="str">
        <f>IF(Account!$F726&lt;&gt;"", DATEVALUE(MID($A726,4,3) &amp; LEFT($A726,3) &amp; RIGHT($A726,4)) + TIMEVALUE($B726), "")</f>
        <v/>
      </c>
      <c r="P726" s="34" t="str">
        <f>IF(Account!$F726&lt;&gt;"", DATEVALUE(MID($C726,4,3) &amp; LEFT($C726,3) &amp; RIGHT($C726,4)), "")</f>
        <v/>
      </c>
      <c r="Q726" s="35" t="str">
        <f t="array" ref="Q726">IF($R726&lt;&gt;"",IFERROR(INDEX(ISIN!$B:$B,MATCH($R726,ISIN!$C:$C,0))),)</f>
        <v/>
      </c>
      <c r="R726" s="36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5" t="str">
        <f t="shared" si="1"/>
        <v/>
      </c>
      <c r="T726" s="37" t="str">
        <f t="shared" si="2"/>
        <v/>
      </c>
      <c r="U726" s="38" t="str">
        <f t="shared" si="3"/>
        <v/>
      </c>
      <c r="V726" s="32" t="str">
        <f t="shared" si="4"/>
        <v/>
      </c>
      <c r="W726" s="39" t="str">
        <f>IFERROR(__xludf.DUMMYFUNCTION(" IF(Account!$F726&lt;&gt;"""", SPLIT(Account!$F726, "" ""), """")"),"")</f>
        <v/>
      </c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</row>
    <row r="727">
      <c r="A727" s="12"/>
      <c r="B727" s="12"/>
      <c r="C727" s="12"/>
      <c r="D727" s="12"/>
      <c r="E727" s="12"/>
      <c r="F727" s="13"/>
      <c r="G727" s="291"/>
      <c r="H727" s="12"/>
      <c r="I727" s="12"/>
      <c r="J727" s="12"/>
      <c r="K727" s="12"/>
      <c r="L727" s="13"/>
      <c r="M727" s="30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2" t="str">
        <f>IFERROR(__xludf.DUMMYFUNCTION("IF(Account!$F727&lt;&gt;"""", VALUE(REGEXREPLACE($I727, ""\,"", ""."")), """")"),"")</f>
        <v/>
      </c>
      <c r="O727" s="33" t="str">
        <f>IF(Account!$F727&lt;&gt;"", DATEVALUE(MID($A727,4,3) &amp; LEFT($A727,3) &amp; RIGHT($A727,4)) + TIMEVALUE($B727), "")</f>
        <v/>
      </c>
      <c r="P727" s="34" t="str">
        <f>IF(Account!$F727&lt;&gt;"", DATEVALUE(MID($C727,4,3) &amp; LEFT($C727,3) &amp; RIGHT($C727,4)), "")</f>
        <v/>
      </c>
      <c r="Q727" s="35" t="str">
        <f t="array" ref="Q727">IF($R727&lt;&gt;"",IFERROR(INDEX(ISIN!$B:$B,MATCH($R727,ISIN!$C:$C,0))),)</f>
        <v/>
      </c>
      <c r="R727" s="36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5" t="str">
        <f t="shared" si="1"/>
        <v/>
      </c>
      <c r="T727" s="37" t="str">
        <f t="shared" si="2"/>
        <v/>
      </c>
      <c r="U727" s="38" t="str">
        <f t="shared" si="3"/>
        <v/>
      </c>
      <c r="V727" s="32" t="str">
        <f t="shared" si="4"/>
        <v/>
      </c>
      <c r="W727" s="39" t="str">
        <f>IFERROR(__xludf.DUMMYFUNCTION(" IF(Account!$F727&lt;&gt;"""", SPLIT(Account!$F727, "" ""), """")"),"")</f>
        <v/>
      </c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</row>
    <row r="728">
      <c r="A728" s="12"/>
      <c r="B728" s="12"/>
      <c r="C728" s="12"/>
      <c r="D728" s="12"/>
      <c r="E728" s="12"/>
      <c r="F728" s="13"/>
      <c r="G728" s="291"/>
      <c r="H728" s="12"/>
      <c r="I728" s="12"/>
      <c r="J728" s="12"/>
      <c r="K728" s="12"/>
      <c r="L728" s="13"/>
      <c r="M728" s="30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2" t="str">
        <f>IFERROR(__xludf.DUMMYFUNCTION("IF(Account!$F728&lt;&gt;"""", VALUE(REGEXREPLACE($I728, ""\,"", ""."")), """")"),"")</f>
        <v/>
      </c>
      <c r="O728" s="33" t="str">
        <f>IF(Account!$F728&lt;&gt;"", DATEVALUE(MID($A728,4,3) &amp; LEFT($A728,3) &amp; RIGHT($A728,4)) + TIMEVALUE($B728), "")</f>
        <v/>
      </c>
      <c r="P728" s="34" t="str">
        <f>IF(Account!$F728&lt;&gt;"", DATEVALUE(MID($C728,4,3) &amp; LEFT($C728,3) &amp; RIGHT($C728,4)), "")</f>
        <v/>
      </c>
      <c r="Q728" s="35" t="str">
        <f t="array" ref="Q728">IF($R728&lt;&gt;"",IFERROR(INDEX(ISIN!$B:$B,MATCH($R728,ISIN!$C:$C,0))),)</f>
        <v/>
      </c>
      <c r="R728" s="36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5" t="str">
        <f t="shared" si="1"/>
        <v/>
      </c>
      <c r="T728" s="37" t="str">
        <f t="shared" si="2"/>
        <v/>
      </c>
      <c r="U728" s="38" t="str">
        <f t="shared" si="3"/>
        <v/>
      </c>
      <c r="V728" s="32" t="str">
        <f t="shared" si="4"/>
        <v/>
      </c>
      <c r="W728" s="39" t="str">
        <f>IFERROR(__xludf.DUMMYFUNCTION(" IF(Account!$F728&lt;&gt;"""", SPLIT(Account!$F728, "" ""), """")"),"")</f>
        <v/>
      </c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</row>
    <row r="729">
      <c r="A729" s="12"/>
      <c r="B729" s="12"/>
      <c r="C729" s="12"/>
      <c r="D729" s="12"/>
      <c r="E729" s="12"/>
      <c r="F729" s="13"/>
      <c r="G729" s="291"/>
      <c r="H729" s="12"/>
      <c r="I729" s="12"/>
      <c r="J729" s="12"/>
      <c r="K729" s="12"/>
      <c r="L729" s="13"/>
      <c r="M729" s="30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2" t="str">
        <f>IFERROR(__xludf.DUMMYFUNCTION("IF(Account!$F729&lt;&gt;"""", VALUE(REGEXREPLACE($I729, ""\,"", ""."")), """")"),"")</f>
        <v/>
      </c>
      <c r="O729" s="33" t="str">
        <f>IF(Account!$F729&lt;&gt;"", DATEVALUE(MID($A729,4,3) &amp; LEFT($A729,3) &amp; RIGHT($A729,4)) + TIMEVALUE($B729), "")</f>
        <v/>
      </c>
      <c r="P729" s="34" t="str">
        <f>IF(Account!$F729&lt;&gt;"", DATEVALUE(MID($C729,4,3) &amp; LEFT($C729,3) &amp; RIGHT($C729,4)), "")</f>
        <v/>
      </c>
      <c r="Q729" s="35" t="str">
        <f t="array" ref="Q729">IF($R729&lt;&gt;"",IFERROR(INDEX(ISIN!$B:$B,MATCH($R729,ISIN!$C:$C,0))),)</f>
        <v/>
      </c>
      <c r="R729" s="36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5" t="str">
        <f t="shared" si="1"/>
        <v/>
      </c>
      <c r="T729" s="37" t="str">
        <f t="shared" si="2"/>
        <v/>
      </c>
      <c r="U729" s="38" t="str">
        <f t="shared" si="3"/>
        <v/>
      </c>
      <c r="V729" s="32" t="str">
        <f t="shared" si="4"/>
        <v/>
      </c>
      <c r="W729" s="39" t="str">
        <f>IFERROR(__xludf.DUMMYFUNCTION(" IF(Account!$F729&lt;&gt;"""", SPLIT(Account!$F729, "" ""), """")"),"")</f>
        <v/>
      </c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</row>
    <row r="730">
      <c r="A730" s="12"/>
      <c r="B730" s="12"/>
      <c r="C730" s="12"/>
      <c r="D730" s="12"/>
      <c r="E730" s="12"/>
      <c r="F730" s="13"/>
      <c r="G730" s="291"/>
      <c r="H730" s="12"/>
      <c r="I730" s="12"/>
      <c r="J730" s="12"/>
      <c r="K730" s="12"/>
      <c r="L730" s="13"/>
      <c r="M730" s="30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2" t="str">
        <f>IFERROR(__xludf.DUMMYFUNCTION("IF(Account!$F730&lt;&gt;"""", VALUE(REGEXREPLACE($I730, ""\,"", ""."")), """")"),"")</f>
        <v/>
      </c>
      <c r="O730" s="33" t="str">
        <f>IF(Account!$F730&lt;&gt;"", DATEVALUE(MID($A730,4,3) &amp; LEFT($A730,3) &amp; RIGHT($A730,4)) + TIMEVALUE($B730), "")</f>
        <v/>
      </c>
      <c r="P730" s="34" t="str">
        <f>IF(Account!$F730&lt;&gt;"", DATEVALUE(MID($C730,4,3) &amp; LEFT($C730,3) &amp; RIGHT($C730,4)), "")</f>
        <v/>
      </c>
      <c r="Q730" s="35" t="str">
        <f t="array" ref="Q730">IF($R730&lt;&gt;"",IFERROR(INDEX(ISIN!$B:$B,MATCH($R730,ISIN!$C:$C,0))),)</f>
        <v/>
      </c>
      <c r="R730" s="36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5" t="str">
        <f t="shared" si="1"/>
        <v/>
      </c>
      <c r="T730" s="37" t="str">
        <f t="shared" si="2"/>
        <v/>
      </c>
      <c r="U730" s="38" t="str">
        <f t="shared" si="3"/>
        <v/>
      </c>
      <c r="V730" s="32" t="str">
        <f t="shared" si="4"/>
        <v/>
      </c>
      <c r="W730" s="39" t="str">
        <f>IFERROR(__xludf.DUMMYFUNCTION(" IF(Account!$F730&lt;&gt;"""", SPLIT(Account!$F730, "" ""), """")"),"")</f>
        <v/>
      </c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</row>
    <row r="731">
      <c r="A731" s="12"/>
      <c r="B731" s="12"/>
      <c r="C731" s="12"/>
      <c r="D731" s="12"/>
      <c r="E731" s="12"/>
      <c r="F731" s="13"/>
      <c r="G731" s="291"/>
      <c r="H731" s="12"/>
      <c r="I731" s="12"/>
      <c r="J731" s="12"/>
      <c r="K731" s="12"/>
      <c r="L731" s="13"/>
      <c r="M731" s="30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2" t="str">
        <f>IFERROR(__xludf.DUMMYFUNCTION("IF(Account!$F731&lt;&gt;"""", VALUE(REGEXREPLACE($I731, ""\,"", ""."")), """")"),"")</f>
        <v/>
      </c>
      <c r="O731" s="33" t="str">
        <f>IF(Account!$F731&lt;&gt;"", DATEVALUE(MID($A731,4,3) &amp; LEFT($A731,3) &amp; RIGHT($A731,4)) + TIMEVALUE($B731), "")</f>
        <v/>
      </c>
      <c r="P731" s="34" t="str">
        <f>IF(Account!$F731&lt;&gt;"", DATEVALUE(MID($C731,4,3) &amp; LEFT($C731,3) &amp; RIGHT($C731,4)), "")</f>
        <v/>
      </c>
      <c r="Q731" s="35" t="str">
        <f t="array" ref="Q731">IF($R731&lt;&gt;"",IFERROR(INDEX(ISIN!$B:$B,MATCH($R731,ISIN!$C:$C,0))),)</f>
        <v/>
      </c>
      <c r="R731" s="36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5" t="str">
        <f t="shared" si="1"/>
        <v/>
      </c>
      <c r="T731" s="37" t="str">
        <f t="shared" si="2"/>
        <v/>
      </c>
      <c r="U731" s="38" t="str">
        <f t="shared" si="3"/>
        <v/>
      </c>
      <c r="V731" s="32" t="str">
        <f t="shared" si="4"/>
        <v/>
      </c>
      <c r="W731" s="39" t="str">
        <f>IFERROR(__xludf.DUMMYFUNCTION(" IF(Account!$F731&lt;&gt;"""", SPLIT(Account!$F731, "" ""), """")"),"")</f>
        <v/>
      </c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</row>
    <row r="732">
      <c r="A732" s="12"/>
      <c r="B732" s="12"/>
      <c r="C732" s="12"/>
      <c r="D732" s="12"/>
      <c r="E732" s="12"/>
      <c r="F732" s="13"/>
      <c r="G732" s="291"/>
      <c r="H732" s="12"/>
      <c r="I732" s="12"/>
      <c r="J732" s="12"/>
      <c r="K732" s="12"/>
      <c r="L732" s="13"/>
      <c r="M732" s="30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2" t="str">
        <f>IFERROR(__xludf.DUMMYFUNCTION("IF(Account!$F732&lt;&gt;"""", VALUE(REGEXREPLACE($I732, ""\,"", ""."")), """")"),"")</f>
        <v/>
      </c>
      <c r="O732" s="33" t="str">
        <f>IF(Account!$F732&lt;&gt;"", DATEVALUE(MID($A732,4,3) &amp; LEFT($A732,3) &amp; RIGHT($A732,4)) + TIMEVALUE($B732), "")</f>
        <v/>
      </c>
      <c r="P732" s="34" t="str">
        <f>IF(Account!$F732&lt;&gt;"", DATEVALUE(MID($C732,4,3) &amp; LEFT($C732,3) &amp; RIGHT($C732,4)), "")</f>
        <v/>
      </c>
      <c r="Q732" s="35" t="str">
        <f t="array" ref="Q732">IF($R732&lt;&gt;"",IFERROR(INDEX(ISIN!$B:$B,MATCH($R732,ISIN!$C:$C,0))),)</f>
        <v/>
      </c>
      <c r="R732" s="36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5" t="str">
        <f t="shared" si="1"/>
        <v/>
      </c>
      <c r="T732" s="37" t="str">
        <f t="shared" si="2"/>
        <v/>
      </c>
      <c r="U732" s="38" t="str">
        <f t="shared" si="3"/>
        <v/>
      </c>
      <c r="V732" s="32" t="str">
        <f t="shared" si="4"/>
        <v/>
      </c>
      <c r="W732" s="39" t="str">
        <f>IFERROR(__xludf.DUMMYFUNCTION(" IF(Account!$F732&lt;&gt;"""", SPLIT(Account!$F732, "" ""), """")"),"")</f>
        <v/>
      </c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</row>
    <row r="733">
      <c r="A733" s="12"/>
      <c r="B733" s="12"/>
      <c r="C733" s="12"/>
      <c r="D733" s="12"/>
      <c r="E733" s="12"/>
      <c r="F733" s="13"/>
      <c r="G733" s="291"/>
      <c r="H733" s="12"/>
      <c r="I733" s="12"/>
      <c r="J733" s="12"/>
      <c r="K733" s="12"/>
      <c r="L733" s="13"/>
      <c r="M733" s="30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2" t="str">
        <f>IFERROR(__xludf.DUMMYFUNCTION("IF(Account!$F733&lt;&gt;"""", VALUE(REGEXREPLACE($I733, ""\,"", ""."")), """")"),"")</f>
        <v/>
      </c>
      <c r="O733" s="33" t="str">
        <f>IF(Account!$F733&lt;&gt;"", DATEVALUE(MID($A733,4,3) &amp; LEFT($A733,3) &amp; RIGHT($A733,4)) + TIMEVALUE($B733), "")</f>
        <v/>
      </c>
      <c r="P733" s="34" t="str">
        <f>IF(Account!$F733&lt;&gt;"", DATEVALUE(MID($C733,4,3) &amp; LEFT($C733,3) &amp; RIGHT($C733,4)), "")</f>
        <v/>
      </c>
      <c r="Q733" s="35" t="str">
        <f t="array" ref="Q733">IF($R733&lt;&gt;"",IFERROR(INDEX(ISIN!$B:$B,MATCH($R733,ISIN!$C:$C,0))),)</f>
        <v/>
      </c>
      <c r="R733" s="36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5" t="str">
        <f t="shared" si="1"/>
        <v/>
      </c>
      <c r="T733" s="37" t="str">
        <f t="shared" si="2"/>
        <v/>
      </c>
      <c r="U733" s="38" t="str">
        <f t="shared" si="3"/>
        <v/>
      </c>
      <c r="V733" s="32" t="str">
        <f t="shared" si="4"/>
        <v/>
      </c>
      <c r="W733" s="39" t="str">
        <f>IFERROR(__xludf.DUMMYFUNCTION(" IF(Account!$F733&lt;&gt;"""", SPLIT(Account!$F733, "" ""), """")"),"")</f>
        <v/>
      </c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</row>
    <row r="734">
      <c r="A734" s="12"/>
      <c r="B734" s="12"/>
      <c r="C734" s="12"/>
      <c r="D734" s="12"/>
      <c r="E734" s="12"/>
      <c r="F734" s="13"/>
      <c r="G734" s="291"/>
      <c r="H734" s="12"/>
      <c r="I734" s="12"/>
      <c r="J734" s="12"/>
      <c r="K734" s="12"/>
      <c r="L734" s="13"/>
      <c r="M734" s="30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2" t="str">
        <f>IFERROR(__xludf.DUMMYFUNCTION("IF(Account!$F734&lt;&gt;"""", VALUE(REGEXREPLACE($I734, ""\,"", ""."")), """")"),"")</f>
        <v/>
      </c>
      <c r="O734" s="33" t="str">
        <f>IF(Account!$F734&lt;&gt;"", DATEVALUE(MID($A734,4,3) &amp; LEFT($A734,3) &amp; RIGHT($A734,4)) + TIMEVALUE($B734), "")</f>
        <v/>
      </c>
      <c r="P734" s="34" t="str">
        <f>IF(Account!$F734&lt;&gt;"", DATEVALUE(MID($C734,4,3) &amp; LEFT($C734,3) &amp; RIGHT($C734,4)), "")</f>
        <v/>
      </c>
      <c r="Q734" s="35" t="str">
        <f t="array" ref="Q734">IF($R734&lt;&gt;"",IFERROR(INDEX(ISIN!$B:$B,MATCH($R734,ISIN!$C:$C,0))),)</f>
        <v/>
      </c>
      <c r="R734" s="36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5" t="str">
        <f t="shared" si="1"/>
        <v/>
      </c>
      <c r="T734" s="37" t="str">
        <f t="shared" si="2"/>
        <v/>
      </c>
      <c r="U734" s="38" t="str">
        <f t="shared" si="3"/>
        <v/>
      </c>
      <c r="V734" s="32" t="str">
        <f t="shared" si="4"/>
        <v/>
      </c>
      <c r="W734" s="39" t="str">
        <f>IFERROR(__xludf.DUMMYFUNCTION(" IF(Account!$F734&lt;&gt;"""", SPLIT(Account!$F734, "" ""), """")"),"")</f>
        <v/>
      </c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</row>
    <row r="735">
      <c r="A735" s="12"/>
      <c r="B735" s="12"/>
      <c r="C735" s="12"/>
      <c r="D735" s="12"/>
      <c r="E735" s="12"/>
      <c r="F735" s="13"/>
      <c r="G735" s="291"/>
      <c r="H735" s="12"/>
      <c r="I735" s="12"/>
      <c r="J735" s="12"/>
      <c r="K735" s="12"/>
      <c r="L735" s="13"/>
      <c r="M735" s="30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2" t="str">
        <f>IFERROR(__xludf.DUMMYFUNCTION("IF(Account!$F735&lt;&gt;"""", VALUE(REGEXREPLACE($I735, ""\,"", ""."")), """")"),"")</f>
        <v/>
      </c>
      <c r="O735" s="33" t="str">
        <f>IF(Account!$F735&lt;&gt;"", DATEVALUE(MID($A735,4,3) &amp; LEFT($A735,3) &amp; RIGHT($A735,4)) + TIMEVALUE($B735), "")</f>
        <v/>
      </c>
      <c r="P735" s="34" t="str">
        <f>IF(Account!$F735&lt;&gt;"", DATEVALUE(MID($C735,4,3) &amp; LEFT($C735,3) &amp; RIGHT($C735,4)), "")</f>
        <v/>
      </c>
      <c r="Q735" s="35" t="str">
        <f t="array" ref="Q735">IF($R735&lt;&gt;"",IFERROR(INDEX(ISIN!$B:$B,MATCH($R735,ISIN!$C:$C,0))),)</f>
        <v/>
      </c>
      <c r="R735" s="36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5" t="str">
        <f t="shared" si="1"/>
        <v/>
      </c>
      <c r="T735" s="37" t="str">
        <f t="shared" si="2"/>
        <v/>
      </c>
      <c r="U735" s="38" t="str">
        <f t="shared" si="3"/>
        <v/>
      </c>
      <c r="V735" s="32" t="str">
        <f t="shared" si="4"/>
        <v/>
      </c>
      <c r="W735" s="39" t="str">
        <f>IFERROR(__xludf.DUMMYFUNCTION(" IF(Account!$F735&lt;&gt;"""", SPLIT(Account!$F735, "" ""), """")"),"")</f>
        <v/>
      </c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</row>
    <row r="736">
      <c r="A736" s="12"/>
      <c r="B736" s="12"/>
      <c r="C736" s="12"/>
      <c r="D736" s="12"/>
      <c r="E736" s="12"/>
      <c r="F736" s="13"/>
      <c r="G736" s="291"/>
      <c r="H736" s="12"/>
      <c r="I736" s="12"/>
      <c r="J736" s="12"/>
      <c r="K736" s="12"/>
      <c r="L736" s="13"/>
      <c r="M736" s="30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2" t="str">
        <f>IFERROR(__xludf.DUMMYFUNCTION("IF(Account!$F736&lt;&gt;"""", VALUE(REGEXREPLACE($I736, ""\,"", ""."")), """")"),"")</f>
        <v/>
      </c>
      <c r="O736" s="33" t="str">
        <f>IF(Account!$F736&lt;&gt;"", DATEVALUE(MID($A736,4,3) &amp; LEFT($A736,3) &amp; RIGHT($A736,4)) + TIMEVALUE($B736), "")</f>
        <v/>
      </c>
      <c r="P736" s="34" t="str">
        <f>IF(Account!$F736&lt;&gt;"", DATEVALUE(MID($C736,4,3) &amp; LEFT($C736,3) &amp; RIGHT($C736,4)), "")</f>
        <v/>
      </c>
      <c r="Q736" s="35" t="str">
        <f t="array" ref="Q736">IF($R736&lt;&gt;"",IFERROR(INDEX(ISIN!$B:$B,MATCH($R736,ISIN!$C:$C,0))),)</f>
        <v/>
      </c>
      <c r="R736" s="36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5" t="str">
        <f t="shared" si="1"/>
        <v/>
      </c>
      <c r="T736" s="37" t="str">
        <f t="shared" si="2"/>
        <v/>
      </c>
      <c r="U736" s="38" t="str">
        <f t="shared" si="3"/>
        <v/>
      </c>
      <c r="V736" s="32" t="str">
        <f t="shared" si="4"/>
        <v/>
      </c>
      <c r="W736" s="39" t="str">
        <f>IFERROR(__xludf.DUMMYFUNCTION(" IF(Account!$F736&lt;&gt;"""", SPLIT(Account!$F736, "" ""), """")"),"")</f>
        <v/>
      </c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</row>
    <row r="737">
      <c r="A737" s="12"/>
      <c r="B737" s="12"/>
      <c r="C737" s="12"/>
      <c r="D737" s="12"/>
      <c r="E737" s="12"/>
      <c r="F737" s="13"/>
      <c r="G737" s="291"/>
      <c r="H737" s="12"/>
      <c r="I737" s="12"/>
      <c r="J737" s="12"/>
      <c r="K737" s="12"/>
      <c r="L737" s="13"/>
      <c r="M737" s="30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2" t="str">
        <f>IFERROR(__xludf.DUMMYFUNCTION("IF(Account!$F737&lt;&gt;"""", VALUE(REGEXREPLACE($I737, ""\,"", ""."")), """")"),"")</f>
        <v/>
      </c>
      <c r="O737" s="33" t="str">
        <f>IF(Account!$F737&lt;&gt;"", DATEVALUE(MID($A737,4,3) &amp; LEFT($A737,3) &amp; RIGHT($A737,4)) + TIMEVALUE($B737), "")</f>
        <v/>
      </c>
      <c r="P737" s="34" t="str">
        <f>IF(Account!$F737&lt;&gt;"", DATEVALUE(MID($C737,4,3) &amp; LEFT($C737,3) &amp; RIGHT($C737,4)), "")</f>
        <v/>
      </c>
      <c r="Q737" s="35" t="str">
        <f t="array" ref="Q737">IF($R737&lt;&gt;"",IFERROR(INDEX(ISIN!$B:$B,MATCH($R737,ISIN!$C:$C,0))),)</f>
        <v/>
      </c>
      <c r="R737" s="36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5" t="str">
        <f t="shared" si="1"/>
        <v/>
      </c>
      <c r="T737" s="37" t="str">
        <f t="shared" si="2"/>
        <v/>
      </c>
      <c r="U737" s="38" t="str">
        <f t="shared" si="3"/>
        <v/>
      </c>
      <c r="V737" s="32" t="str">
        <f t="shared" si="4"/>
        <v/>
      </c>
      <c r="W737" s="39" t="str">
        <f>IFERROR(__xludf.DUMMYFUNCTION(" IF(Account!$F737&lt;&gt;"""", SPLIT(Account!$F737, "" ""), """")"),"")</f>
        <v/>
      </c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</row>
    <row r="738">
      <c r="A738" s="12"/>
      <c r="B738" s="12"/>
      <c r="C738" s="12"/>
      <c r="D738" s="12"/>
      <c r="E738" s="12"/>
      <c r="F738" s="13"/>
      <c r="G738" s="291"/>
      <c r="H738" s="12"/>
      <c r="I738" s="12"/>
      <c r="J738" s="12"/>
      <c r="K738" s="12"/>
      <c r="L738" s="13"/>
      <c r="M738" s="30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2" t="str">
        <f>IFERROR(__xludf.DUMMYFUNCTION("IF(Account!$F738&lt;&gt;"""", VALUE(REGEXREPLACE($I738, ""\,"", ""."")), """")"),"")</f>
        <v/>
      </c>
      <c r="O738" s="33" t="str">
        <f>IF(Account!$F738&lt;&gt;"", DATEVALUE(MID($A738,4,3) &amp; LEFT($A738,3) &amp; RIGHT($A738,4)) + TIMEVALUE($B738), "")</f>
        <v/>
      </c>
      <c r="P738" s="34" t="str">
        <f>IF(Account!$F738&lt;&gt;"", DATEVALUE(MID($C738,4,3) &amp; LEFT($C738,3) &amp; RIGHT($C738,4)), "")</f>
        <v/>
      </c>
      <c r="Q738" s="35" t="str">
        <f t="array" ref="Q738">IF($R738&lt;&gt;"",IFERROR(INDEX(ISIN!$B:$B,MATCH($R738,ISIN!$C:$C,0))),)</f>
        <v/>
      </c>
      <c r="R738" s="36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5" t="str">
        <f t="shared" si="1"/>
        <v/>
      </c>
      <c r="T738" s="37" t="str">
        <f t="shared" si="2"/>
        <v/>
      </c>
      <c r="U738" s="38" t="str">
        <f t="shared" si="3"/>
        <v/>
      </c>
      <c r="V738" s="32" t="str">
        <f t="shared" si="4"/>
        <v/>
      </c>
      <c r="W738" s="39" t="str">
        <f>IFERROR(__xludf.DUMMYFUNCTION(" IF(Account!$F738&lt;&gt;"""", SPLIT(Account!$F738, "" ""), """")"),"")</f>
        <v/>
      </c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</row>
    <row r="739">
      <c r="A739" s="12"/>
      <c r="B739" s="12"/>
      <c r="C739" s="12"/>
      <c r="D739" s="12"/>
      <c r="E739" s="12"/>
      <c r="F739" s="13"/>
      <c r="G739" s="291"/>
      <c r="H739" s="12"/>
      <c r="I739" s="12"/>
      <c r="J739" s="12"/>
      <c r="K739" s="12"/>
      <c r="L739" s="13"/>
      <c r="M739" s="30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2" t="str">
        <f>IFERROR(__xludf.DUMMYFUNCTION("IF(Account!$F739&lt;&gt;"""", VALUE(REGEXREPLACE($I739, ""\,"", ""."")), """")"),"")</f>
        <v/>
      </c>
      <c r="O739" s="33" t="str">
        <f>IF(Account!$F739&lt;&gt;"", DATEVALUE(MID($A739,4,3) &amp; LEFT($A739,3) &amp; RIGHT($A739,4)) + TIMEVALUE($B739), "")</f>
        <v/>
      </c>
      <c r="P739" s="34" t="str">
        <f>IF(Account!$F739&lt;&gt;"", DATEVALUE(MID($C739,4,3) &amp; LEFT($C739,3) &amp; RIGHT($C739,4)), "")</f>
        <v/>
      </c>
      <c r="Q739" s="35" t="str">
        <f t="array" ref="Q739">IF($R739&lt;&gt;"",IFERROR(INDEX(ISIN!$B:$B,MATCH($R739,ISIN!$C:$C,0))),)</f>
        <v/>
      </c>
      <c r="R739" s="36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5" t="str">
        <f t="shared" si="1"/>
        <v/>
      </c>
      <c r="T739" s="37" t="str">
        <f t="shared" si="2"/>
        <v/>
      </c>
      <c r="U739" s="38" t="str">
        <f t="shared" si="3"/>
        <v/>
      </c>
      <c r="V739" s="32" t="str">
        <f t="shared" si="4"/>
        <v/>
      </c>
      <c r="W739" s="39" t="str">
        <f>IFERROR(__xludf.DUMMYFUNCTION(" IF(Account!$F739&lt;&gt;"""", SPLIT(Account!$F739, "" ""), """")"),"")</f>
        <v/>
      </c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</row>
    <row r="740">
      <c r="A740" s="12"/>
      <c r="B740" s="12"/>
      <c r="C740" s="12"/>
      <c r="D740" s="12"/>
      <c r="E740" s="12"/>
      <c r="F740" s="13"/>
      <c r="G740" s="291"/>
      <c r="H740" s="12"/>
      <c r="I740" s="12"/>
      <c r="J740" s="12"/>
      <c r="K740" s="12"/>
      <c r="L740" s="13"/>
      <c r="M740" s="30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2" t="str">
        <f>IFERROR(__xludf.DUMMYFUNCTION("IF(Account!$F740&lt;&gt;"""", VALUE(REGEXREPLACE($I740, ""\,"", ""."")), """")"),"")</f>
        <v/>
      </c>
      <c r="O740" s="33" t="str">
        <f>IF(Account!$F740&lt;&gt;"", DATEVALUE(MID($A740,4,3) &amp; LEFT($A740,3) &amp; RIGHT($A740,4)) + TIMEVALUE($B740), "")</f>
        <v/>
      </c>
      <c r="P740" s="34" t="str">
        <f>IF(Account!$F740&lt;&gt;"", DATEVALUE(MID($C740,4,3) &amp; LEFT($C740,3) &amp; RIGHT($C740,4)), "")</f>
        <v/>
      </c>
      <c r="Q740" s="35" t="str">
        <f t="array" ref="Q740">IF($R740&lt;&gt;"",IFERROR(INDEX(ISIN!$B:$B,MATCH($R740,ISIN!$C:$C,0))),)</f>
        <v/>
      </c>
      <c r="R740" s="36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5" t="str">
        <f t="shared" si="1"/>
        <v/>
      </c>
      <c r="T740" s="37" t="str">
        <f t="shared" si="2"/>
        <v/>
      </c>
      <c r="U740" s="38" t="str">
        <f t="shared" si="3"/>
        <v/>
      </c>
      <c r="V740" s="32" t="str">
        <f t="shared" si="4"/>
        <v/>
      </c>
      <c r="W740" s="39" t="str">
        <f>IFERROR(__xludf.DUMMYFUNCTION(" IF(Account!$F740&lt;&gt;"""", SPLIT(Account!$F740, "" ""), """")"),"")</f>
        <v/>
      </c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</row>
    <row r="741">
      <c r="A741" s="12"/>
      <c r="B741" s="12"/>
      <c r="C741" s="12"/>
      <c r="D741" s="12"/>
      <c r="E741" s="12"/>
      <c r="F741" s="13"/>
      <c r="G741" s="291"/>
      <c r="H741" s="12"/>
      <c r="I741" s="12"/>
      <c r="J741" s="12"/>
      <c r="K741" s="12"/>
      <c r="L741" s="13"/>
      <c r="M741" s="30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2" t="str">
        <f>IFERROR(__xludf.DUMMYFUNCTION("IF(Account!$F741&lt;&gt;"""", VALUE(REGEXREPLACE($I741, ""\,"", ""."")), """")"),"")</f>
        <v/>
      </c>
      <c r="O741" s="33" t="str">
        <f>IF(Account!$F741&lt;&gt;"", DATEVALUE(MID($A741,4,3) &amp; LEFT($A741,3) &amp; RIGHT($A741,4)) + TIMEVALUE($B741), "")</f>
        <v/>
      </c>
      <c r="P741" s="34" t="str">
        <f>IF(Account!$F741&lt;&gt;"", DATEVALUE(MID($C741,4,3) &amp; LEFT($C741,3) &amp; RIGHT($C741,4)), "")</f>
        <v/>
      </c>
      <c r="Q741" s="35" t="str">
        <f t="array" ref="Q741">IF($R741&lt;&gt;"",IFERROR(INDEX(ISIN!$B:$B,MATCH($R741,ISIN!$C:$C,0))),)</f>
        <v/>
      </c>
      <c r="R741" s="36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5" t="str">
        <f t="shared" si="1"/>
        <v/>
      </c>
      <c r="T741" s="37" t="str">
        <f t="shared" si="2"/>
        <v/>
      </c>
      <c r="U741" s="38" t="str">
        <f t="shared" si="3"/>
        <v/>
      </c>
      <c r="V741" s="32" t="str">
        <f t="shared" si="4"/>
        <v/>
      </c>
      <c r="W741" s="39" t="str">
        <f>IFERROR(__xludf.DUMMYFUNCTION(" IF(Account!$F741&lt;&gt;"""", SPLIT(Account!$F741, "" ""), """")"),"")</f>
        <v/>
      </c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</row>
    <row r="742">
      <c r="A742" s="12"/>
      <c r="B742" s="12"/>
      <c r="C742" s="12"/>
      <c r="D742" s="12"/>
      <c r="E742" s="12"/>
      <c r="F742" s="13"/>
      <c r="G742" s="291"/>
      <c r="H742" s="12"/>
      <c r="I742" s="12"/>
      <c r="J742" s="12"/>
      <c r="K742" s="12"/>
      <c r="L742" s="13"/>
      <c r="M742" s="30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2" t="str">
        <f>IFERROR(__xludf.DUMMYFUNCTION("IF(Account!$F742&lt;&gt;"""", VALUE(REGEXREPLACE($I742, ""\,"", ""."")), """")"),"")</f>
        <v/>
      </c>
      <c r="O742" s="33" t="str">
        <f>IF(Account!$F742&lt;&gt;"", DATEVALUE(MID($A742,4,3) &amp; LEFT($A742,3) &amp; RIGHT($A742,4)) + TIMEVALUE($B742), "")</f>
        <v/>
      </c>
      <c r="P742" s="34" t="str">
        <f>IF(Account!$F742&lt;&gt;"", DATEVALUE(MID($C742,4,3) &amp; LEFT($C742,3) &amp; RIGHT($C742,4)), "")</f>
        <v/>
      </c>
      <c r="Q742" s="35" t="str">
        <f t="array" ref="Q742">IF($R742&lt;&gt;"",IFERROR(INDEX(ISIN!$B:$B,MATCH($R742,ISIN!$C:$C,0))),)</f>
        <v/>
      </c>
      <c r="R742" s="36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5" t="str">
        <f t="shared" si="1"/>
        <v/>
      </c>
      <c r="T742" s="37" t="str">
        <f t="shared" si="2"/>
        <v/>
      </c>
      <c r="U742" s="38" t="str">
        <f t="shared" si="3"/>
        <v/>
      </c>
      <c r="V742" s="32" t="str">
        <f t="shared" si="4"/>
        <v/>
      </c>
      <c r="W742" s="39" t="str">
        <f>IFERROR(__xludf.DUMMYFUNCTION(" IF(Account!$F742&lt;&gt;"""", SPLIT(Account!$F742, "" ""), """")"),"")</f>
        <v/>
      </c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</row>
    <row r="743">
      <c r="A743" s="12"/>
      <c r="B743" s="12"/>
      <c r="C743" s="12"/>
      <c r="D743" s="12"/>
      <c r="E743" s="12"/>
      <c r="F743" s="13"/>
      <c r="G743" s="291"/>
      <c r="H743" s="12"/>
      <c r="I743" s="12"/>
      <c r="J743" s="12"/>
      <c r="K743" s="12"/>
      <c r="L743" s="13"/>
      <c r="M743" s="30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2" t="str">
        <f>IFERROR(__xludf.DUMMYFUNCTION("IF(Account!$F743&lt;&gt;"""", VALUE(REGEXREPLACE($I743, ""\,"", ""."")), """")"),"")</f>
        <v/>
      </c>
      <c r="O743" s="33" t="str">
        <f>IF(Account!$F743&lt;&gt;"", DATEVALUE(MID($A743,4,3) &amp; LEFT($A743,3) &amp; RIGHT($A743,4)) + TIMEVALUE($B743), "")</f>
        <v/>
      </c>
      <c r="P743" s="34" t="str">
        <f>IF(Account!$F743&lt;&gt;"", DATEVALUE(MID($C743,4,3) &amp; LEFT($C743,3) &amp; RIGHT($C743,4)), "")</f>
        <v/>
      </c>
      <c r="Q743" s="35" t="str">
        <f t="array" ref="Q743">IF($R743&lt;&gt;"",IFERROR(INDEX(ISIN!$B:$B,MATCH($R743,ISIN!$C:$C,0))),)</f>
        <v/>
      </c>
      <c r="R743" s="36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5" t="str">
        <f t="shared" si="1"/>
        <v/>
      </c>
      <c r="T743" s="37" t="str">
        <f t="shared" si="2"/>
        <v/>
      </c>
      <c r="U743" s="38" t="str">
        <f t="shared" si="3"/>
        <v/>
      </c>
      <c r="V743" s="32" t="str">
        <f t="shared" si="4"/>
        <v/>
      </c>
      <c r="W743" s="39" t="str">
        <f>IFERROR(__xludf.DUMMYFUNCTION(" IF(Account!$F743&lt;&gt;"""", SPLIT(Account!$F743, "" ""), """")"),"")</f>
        <v/>
      </c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</row>
    <row r="744">
      <c r="A744" s="12"/>
      <c r="B744" s="12"/>
      <c r="C744" s="12"/>
      <c r="D744" s="12"/>
      <c r="E744" s="12"/>
      <c r="F744" s="13"/>
      <c r="G744" s="291"/>
      <c r="H744" s="12"/>
      <c r="I744" s="12"/>
      <c r="J744" s="12"/>
      <c r="K744" s="12"/>
      <c r="L744" s="13"/>
      <c r="M744" s="30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2" t="str">
        <f>IFERROR(__xludf.DUMMYFUNCTION("IF(Account!$F744&lt;&gt;"""", VALUE(REGEXREPLACE($I744, ""\,"", ""."")), """")"),"")</f>
        <v/>
      </c>
      <c r="O744" s="33" t="str">
        <f>IF(Account!$F744&lt;&gt;"", DATEVALUE(MID($A744,4,3) &amp; LEFT($A744,3) &amp; RIGHT($A744,4)) + TIMEVALUE($B744), "")</f>
        <v/>
      </c>
      <c r="P744" s="34" t="str">
        <f>IF(Account!$F744&lt;&gt;"", DATEVALUE(MID($C744,4,3) &amp; LEFT($C744,3) &amp; RIGHT($C744,4)), "")</f>
        <v/>
      </c>
      <c r="Q744" s="35" t="str">
        <f t="array" ref="Q744">IF($R744&lt;&gt;"",IFERROR(INDEX(ISIN!$B:$B,MATCH($R744,ISIN!$C:$C,0))),)</f>
        <v/>
      </c>
      <c r="R744" s="36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5" t="str">
        <f t="shared" si="1"/>
        <v/>
      </c>
      <c r="T744" s="37" t="str">
        <f t="shared" si="2"/>
        <v/>
      </c>
      <c r="U744" s="38" t="str">
        <f t="shared" si="3"/>
        <v/>
      </c>
      <c r="V744" s="32" t="str">
        <f t="shared" si="4"/>
        <v/>
      </c>
      <c r="W744" s="39" t="str">
        <f>IFERROR(__xludf.DUMMYFUNCTION(" IF(Account!$F744&lt;&gt;"""", SPLIT(Account!$F744, "" ""), """")"),"")</f>
        <v/>
      </c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</row>
    <row r="745">
      <c r="A745" s="12"/>
      <c r="B745" s="12"/>
      <c r="C745" s="12"/>
      <c r="D745" s="291"/>
      <c r="E745" s="291"/>
      <c r="F745" s="13"/>
      <c r="G745" s="291"/>
      <c r="H745" s="12"/>
      <c r="I745" s="12"/>
      <c r="J745" s="12"/>
      <c r="K745" s="12"/>
      <c r="L745" s="335"/>
      <c r="M745" s="30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2" t="str">
        <f>IFERROR(__xludf.DUMMYFUNCTION("IF(Account!$F745&lt;&gt;"""", VALUE(REGEXREPLACE($I745, ""\,"", ""."")), """")"),"")</f>
        <v/>
      </c>
      <c r="O745" s="33" t="str">
        <f>IF(Account!$F745&lt;&gt;"", DATEVALUE(MID($A745,4,3) &amp; LEFT($A745,3) &amp; RIGHT($A745,4)) + TIMEVALUE($B745), "")</f>
        <v/>
      </c>
      <c r="P745" s="34" t="str">
        <f>IF(Account!$F745&lt;&gt;"", DATEVALUE(MID($C745,4,3) &amp; LEFT($C745,3) &amp; RIGHT($C745,4)), "")</f>
        <v/>
      </c>
      <c r="Q745" s="35" t="str">
        <f t="array" ref="Q745">IF($R745&lt;&gt;"",IFERROR(INDEX(ISIN!$B:$B,MATCH($R745,ISIN!$C:$C,0))),)</f>
        <v/>
      </c>
      <c r="R745" s="36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5" t="str">
        <f t="shared" si="1"/>
        <v/>
      </c>
      <c r="T745" s="37" t="str">
        <f t="shared" si="2"/>
        <v/>
      </c>
      <c r="U745" s="38" t="str">
        <f t="shared" si="3"/>
        <v/>
      </c>
      <c r="V745" s="32" t="str">
        <f t="shared" si="4"/>
        <v/>
      </c>
      <c r="W745" s="39" t="str">
        <f>IFERROR(__xludf.DUMMYFUNCTION(" IF(Account!$F745&lt;&gt;"""", SPLIT(Account!$F745, "" ""), """")"),"")</f>
        <v/>
      </c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</row>
    <row r="746">
      <c r="A746" s="12"/>
      <c r="B746" s="12"/>
      <c r="C746" s="12"/>
      <c r="D746" s="291"/>
      <c r="E746" s="291"/>
      <c r="F746" s="13"/>
      <c r="G746" s="291"/>
      <c r="H746" s="12"/>
      <c r="I746" s="12"/>
      <c r="J746" s="12"/>
      <c r="K746" s="12"/>
      <c r="L746" s="335"/>
      <c r="M746" s="30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2" t="str">
        <f>IFERROR(__xludf.DUMMYFUNCTION("IF(Account!$F746&lt;&gt;"""", VALUE(REGEXREPLACE($I746, ""\,"", ""."")), """")"),"")</f>
        <v/>
      </c>
      <c r="O746" s="33" t="str">
        <f>IF(Account!$F746&lt;&gt;"", DATEVALUE(MID($A746,4,3) &amp; LEFT($A746,3) &amp; RIGHT($A746,4)) + TIMEVALUE($B746), "")</f>
        <v/>
      </c>
      <c r="P746" s="34" t="str">
        <f>IF(Account!$F746&lt;&gt;"", DATEVALUE(MID($C746,4,3) &amp; LEFT($C746,3) &amp; RIGHT($C746,4)), "")</f>
        <v/>
      </c>
      <c r="Q746" s="35" t="str">
        <f t="array" ref="Q746">IF($R746&lt;&gt;"",IFERROR(INDEX(ISIN!$B:$B,MATCH($R746,ISIN!$C:$C,0))),)</f>
        <v/>
      </c>
      <c r="R746" s="36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5" t="str">
        <f t="shared" si="1"/>
        <v/>
      </c>
      <c r="T746" s="37" t="str">
        <f t="shared" si="2"/>
        <v/>
      </c>
      <c r="U746" s="38" t="str">
        <f t="shared" si="3"/>
        <v/>
      </c>
      <c r="V746" s="32" t="str">
        <f t="shared" si="4"/>
        <v/>
      </c>
      <c r="W746" s="39" t="str">
        <f>IFERROR(__xludf.DUMMYFUNCTION(" IF(Account!$F746&lt;&gt;"""", SPLIT(Account!$F746, "" ""), """")"),"")</f>
        <v/>
      </c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</row>
    <row r="747">
      <c r="A747" s="12"/>
      <c r="B747" s="12"/>
      <c r="C747" s="12"/>
      <c r="D747" s="291"/>
      <c r="E747" s="291"/>
      <c r="F747" s="13"/>
      <c r="G747" s="291"/>
      <c r="H747" s="12"/>
      <c r="I747" s="12"/>
      <c r="J747" s="12"/>
      <c r="K747" s="12"/>
      <c r="L747" s="335"/>
      <c r="M747" s="30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2" t="str">
        <f>IFERROR(__xludf.DUMMYFUNCTION("IF(Account!$F747&lt;&gt;"""", VALUE(REGEXREPLACE($I747, ""\,"", ""."")), """")"),"")</f>
        <v/>
      </c>
      <c r="O747" s="33" t="str">
        <f>IF(Account!$F747&lt;&gt;"", DATEVALUE(MID($A747,4,3) &amp; LEFT($A747,3) &amp; RIGHT($A747,4)) + TIMEVALUE($B747), "")</f>
        <v/>
      </c>
      <c r="P747" s="34" t="str">
        <f>IF(Account!$F747&lt;&gt;"", DATEVALUE(MID($C747,4,3) &amp; LEFT($C747,3) &amp; RIGHT($C747,4)), "")</f>
        <v/>
      </c>
      <c r="Q747" s="35" t="str">
        <f t="array" ref="Q747">IF($R747&lt;&gt;"",IFERROR(INDEX(ISIN!$B:$B,MATCH($R747,ISIN!$C:$C,0))),)</f>
        <v/>
      </c>
      <c r="R747" s="36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5" t="str">
        <f t="shared" si="1"/>
        <v/>
      </c>
      <c r="T747" s="37" t="str">
        <f t="shared" si="2"/>
        <v/>
      </c>
      <c r="U747" s="38" t="str">
        <f t="shared" si="3"/>
        <v/>
      </c>
      <c r="V747" s="32" t="str">
        <f t="shared" si="4"/>
        <v/>
      </c>
      <c r="W747" s="39" t="str">
        <f>IFERROR(__xludf.DUMMYFUNCTION(" IF(Account!$F747&lt;&gt;"""", SPLIT(Account!$F747, "" ""), """")"),"")</f>
        <v/>
      </c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</row>
    <row r="748">
      <c r="A748" s="12"/>
      <c r="B748" s="12"/>
      <c r="C748" s="12"/>
      <c r="D748" s="291"/>
      <c r="E748" s="291"/>
      <c r="F748" s="13"/>
      <c r="G748" s="291"/>
      <c r="H748" s="12"/>
      <c r="I748" s="12"/>
      <c r="J748" s="12"/>
      <c r="K748" s="12"/>
      <c r="L748" s="335"/>
      <c r="M748" s="30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2" t="str">
        <f>IFERROR(__xludf.DUMMYFUNCTION("IF(Account!$F748&lt;&gt;"""", VALUE(REGEXREPLACE($I748, ""\,"", ""."")), """")"),"")</f>
        <v/>
      </c>
      <c r="O748" s="33" t="str">
        <f>IF(Account!$F748&lt;&gt;"", DATEVALUE(MID($A748,4,3) &amp; LEFT($A748,3) &amp; RIGHT($A748,4)) + TIMEVALUE($B748), "")</f>
        <v/>
      </c>
      <c r="P748" s="34" t="str">
        <f>IF(Account!$F748&lt;&gt;"", DATEVALUE(MID($C748,4,3) &amp; LEFT($C748,3) &amp; RIGHT($C748,4)), "")</f>
        <v/>
      </c>
      <c r="Q748" s="35" t="str">
        <f t="array" ref="Q748">IF($R748&lt;&gt;"",IFERROR(INDEX(ISIN!$B:$B,MATCH($R748,ISIN!$C:$C,0))),)</f>
        <v/>
      </c>
      <c r="R748" s="36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5" t="str">
        <f t="shared" si="1"/>
        <v/>
      </c>
      <c r="T748" s="37" t="str">
        <f t="shared" si="2"/>
        <v/>
      </c>
      <c r="U748" s="38" t="str">
        <f t="shared" si="3"/>
        <v/>
      </c>
      <c r="V748" s="32" t="str">
        <f t="shared" si="4"/>
        <v/>
      </c>
      <c r="W748" s="39" t="str">
        <f>IFERROR(__xludf.DUMMYFUNCTION(" IF(Account!$F748&lt;&gt;"""", SPLIT(Account!$F748, "" ""), """")"),"")</f>
        <v/>
      </c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</row>
    <row r="749">
      <c r="A749" s="12"/>
      <c r="B749" s="12"/>
      <c r="C749" s="12"/>
      <c r="D749" s="12"/>
      <c r="E749" s="12"/>
      <c r="F749" s="13"/>
      <c r="G749" s="291"/>
      <c r="H749" s="12"/>
      <c r="I749" s="12"/>
      <c r="J749" s="12"/>
      <c r="K749" s="12"/>
      <c r="L749" s="13"/>
      <c r="M749" s="30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2" t="str">
        <f>IFERROR(__xludf.DUMMYFUNCTION("IF(Account!$F749&lt;&gt;"""", VALUE(REGEXREPLACE($I749, ""\,"", ""."")), """")"),"")</f>
        <v/>
      </c>
      <c r="O749" s="33" t="str">
        <f>IF(Account!$F749&lt;&gt;"", DATEVALUE(MID($A749,4,3) &amp; LEFT($A749,3) &amp; RIGHT($A749,4)) + TIMEVALUE($B749), "")</f>
        <v/>
      </c>
      <c r="P749" s="34" t="str">
        <f>IF(Account!$F749&lt;&gt;"", DATEVALUE(MID($C749,4,3) &amp; LEFT($C749,3) &amp; RIGHT($C749,4)), "")</f>
        <v/>
      </c>
      <c r="Q749" s="35" t="str">
        <f t="array" ref="Q749">IF($R749&lt;&gt;"",IFERROR(INDEX(ISIN!$B:$B,MATCH($R749,ISIN!$C:$C,0))),)</f>
        <v/>
      </c>
      <c r="R749" s="36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5" t="str">
        <f t="shared" si="1"/>
        <v/>
      </c>
      <c r="T749" s="37" t="str">
        <f t="shared" si="2"/>
        <v/>
      </c>
      <c r="U749" s="38" t="str">
        <f t="shared" si="3"/>
        <v/>
      </c>
      <c r="V749" s="32" t="str">
        <f t="shared" si="4"/>
        <v/>
      </c>
      <c r="W749" s="39" t="str">
        <f>IFERROR(__xludf.DUMMYFUNCTION(" IF(Account!$F749&lt;&gt;"""", SPLIT(Account!$F749, "" ""), """")"),"")</f>
        <v/>
      </c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</row>
    <row r="750">
      <c r="A750" s="12"/>
      <c r="B750" s="12"/>
      <c r="C750" s="12"/>
      <c r="D750" s="12"/>
      <c r="E750" s="12"/>
      <c r="F750" s="13"/>
      <c r="G750" s="291"/>
      <c r="H750" s="12"/>
      <c r="I750" s="12"/>
      <c r="J750" s="12"/>
      <c r="K750" s="12"/>
      <c r="L750" s="13"/>
      <c r="M750" s="30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2" t="str">
        <f>IFERROR(__xludf.DUMMYFUNCTION("IF(Account!$F750&lt;&gt;"""", VALUE(REGEXREPLACE($I750, ""\,"", ""."")), """")"),"")</f>
        <v/>
      </c>
      <c r="O750" s="33" t="str">
        <f>IF(Account!$F750&lt;&gt;"", DATEVALUE(MID($A750,4,3) &amp; LEFT($A750,3) &amp; RIGHT($A750,4)) + TIMEVALUE($B750), "")</f>
        <v/>
      </c>
      <c r="P750" s="34" t="str">
        <f>IF(Account!$F750&lt;&gt;"", DATEVALUE(MID($C750,4,3) &amp; LEFT($C750,3) &amp; RIGHT($C750,4)), "")</f>
        <v/>
      </c>
      <c r="Q750" s="35" t="str">
        <f t="array" ref="Q750">IF($R750&lt;&gt;"",IFERROR(INDEX(ISIN!$B:$B,MATCH($R750,ISIN!$C:$C,0))),)</f>
        <v/>
      </c>
      <c r="R750" s="36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5" t="str">
        <f t="shared" si="1"/>
        <v/>
      </c>
      <c r="T750" s="37" t="str">
        <f t="shared" si="2"/>
        <v/>
      </c>
      <c r="U750" s="38" t="str">
        <f t="shared" si="3"/>
        <v/>
      </c>
      <c r="V750" s="32" t="str">
        <f t="shared" si="4"/>
        <v/>
      </c>
      <c r="W750" s="39" t="str">
        <f>IFERROR(__xludf.DUMMYFUNCTION(" IF(Account!$F750&lt;&gt;"""", SPLIT(Account!$F750, "" ""), """")"),"")</f>
        <v/>
      </c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</row>
    <row r="751">
      <c r="A751" s="12"/>
      <c r="B751" s="12"/>
      <c r="C751" s="12"/>
      <c r="D751" s="291"/>
      <c r="E751" s="291"/>
      <c r="F751" s="13"/>
      <c r="G751" s="291"/>
      <c r="H751" s="12"/>
      <c r="I751" s="12"/>
      <c r="J751" s="12"/>
      <c r="K751" s="12"/>
      <c r="L751" s="335"/>
      <c r="M751" s="30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2" t="str">
        <f>IFERROR(__xludf.DUMMYFUNCTION("IF(Account!$F751&lt;&gt;"""", VALUE(REGEXREPLACE($I751, ""\,"", ""."")), """")"),"")</f>
        <v/>
      </c>
      <c r="O751" s="33" t="str">
        <f>IF(Account!$F751&lt;&gt;"", DATEVALUE(MID($A751,4,3) &amp; LEFT($A751,3) &amp; RIGHT($A751,4)) + TIMEVALUE($B751), "")</f>
        <v/>
      </c>
      <c r="P751" s="34" t="str">
        <f>IF(Account!$F751&lt;&gt;"", DATEVALUE(MID($C751,4,3) &amp; LEFT($C751,3) &amp; RIGHT($C751,4)), "")</f>
        <v/>
      </c>
      <c r="Q751" s="35" t="str">
        <f t="array" ref="Q751">IF($R751&lt;&gt;"",IFERROR(INDEX(ISIN!$B:$B,MATCH($R751,ISIN!$C:$C,0))),)</f>
        <v/>
      </c>
      <c r="R751" s="36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5" t="str">
        <f t="shared" si="1"/>
        <v/>
      </c>
      <c r="T751" s="37" t="str">
        <f t="shared" si="2"/>
        <v/>
      </c>
      <c r="U751" s="38" t="str">
        <f t="shared" si="3"/>
        <v/>
      </c>
      <c r="V751" s="32" t="str">
        <f t="shared" si="4"/>
        <v/>
      </c>
      <c r="W751" s="39" t="str">
        <f>IFERROR(__xludf.DUMMYFUNCTION(" IF(Account!$F751&lt;&gt;"""", SPLIT(Account!$F751, "" ""), """")"),"")</f>
        <v/>
      </c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</row>
    <row r="752">
      <c r="A752" s="12"/>
      <c r="B752" s="12"/>
      <c r="C752" s="12"/>
      <c r="D752" s="291"/>
      <c r="E752" s="291"/>
      <c r="F752" s="13"/>
      <c r="G752" s="12"/>
      <c r="H752" s="12"/>
      <c r="I752" s="12"/>
      <c r="J752" s="12"/>
      <c r="K752" s="12"/>
      <c r="L752" s="335"/>
      <c r="M752" s="30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2" t="str">
        <f>IFERROR(__xludf.DUMMYFUNCTION("IF(Account!$F752&lt;&gt;"""", VALUE(REGEXREPLACE($I752, ""\,"", ""."")), """")"),"")</f>
        <v/>
      </c>
      <c r="O752" s="33" t="str">
        <f>IF(Account!$F752&lt;&gt;"", DATEVALUE(MID($A752,4,3) &amp; LEFT($A752,3) &amp; RIGHT($A752,4)) + TIMEVALUE($B752), "")</f>
        <v/>
      </c>
      <c r="P752" s="34" t="str">
        <f>IF(Account!$F752&lt;&gt;"", DATEVALUE(MID($C752,4,3) &amp; LEFT($C752,3) &amp; RIGHT($C752,4)), "")</f>
        <v/>
      </c>
      <c r="Q752" s="35" t="str">
        <f t="array" ref="Q752">IF($R752&lt;&gt;"",IFERROR(INDEX(ISIN!$B:$B,MATCH($R752,ISIN!$C:$C,0))),)</f>
        <v/>
      </c>
      <c r="R752" s="36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5" t="str">
        <f t="shared" si="1"/>
        <v/>
      </c>
      <c r="T752" s="37" t="str">
        <f t="shared" si="2"/>
        <v/>
      </c>
      <c r="U752" s="38" t="str">
        <f t="shared" si="3"/>
        <v/>
      </c>
      <c r="V752" s="32" t="str">
        <f t="shared" si="4"/>
        <v/>
      </c>
      <c r="W752" s="39" t="str">
        <f>IFERROR(__xludf.DUMMYFUNCTION(" IF(Account!$F752&lt;&gt;"""", SPLIT(Account!$F752, "" ""), """")"),"")</f>
        <v/>
      </c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</row>
    <row r="753">
      <c r="A753" s="12"/>
      <c r="B753" s="12"/>
      <c r="C753" s="12"/>
      <c r="D753" s="12"/>
      <c r="E753" s="12"/>
      <c r="F753" s="13"/>
      <c r="G753" s="291"/>
      <c r="H753" s="12"/>
      <c r="I753" s="12"/>
      <c r="J753" s="12"/>
      <c r="K753" s="12"/>
      <c r="L753" s="335"/>
      <c r="M753" s="30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2" t="str">
        <f>IFERROR(__xludf.DUMMYFUNCTION("IF(Account!$F753&lt;&gt;"""", VALUE(REGEXREPLACE($I753, ""\,"", ""."")), """")"),"")</f>
        <v/>
      </c>
      <c r="O753" s="33" t="str">
        <f>IF(Account!$F753&lt;&gt;"", DATEVALUE(MID($A753,4,3) &amp; LEFT($A753,3) &amp; RIGHT($A753,4)) + TIMEVALUE($B753), "")</f>
        <v/>
      </c>
      <c r="P753" s="34" t="str">
        <f>IF(Account!$F753&lt;&gt;"", DATEVALUE(MID($C753,4,3) &amp; LEFT($C753,3) &amp; RIGHT($C753,4)), "")</f>
        <v/>
      </c>
      <c r="Q753" s="35" t="str">
        <f t="array" ref="Q753">IF($R753&lt;&gt;"",IFERROR(INDEX(ISIN!$B:$B,MATCH($R753,ISIN!$C:$C,0))),)</f>
        <v/>
      </c>
      <c r="R753" s="36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5" t="str">
        <f t="shared" si="1"/>
        <v/>
      </c>
      <c r="T753" s="37" t="str">
        <f t="shared" si="2"/>
        <v/>
      </c>
      <c r="U753" s="38" t="str">
        <f t="shared" si="3"/>
        <v/>
      </c>
      <c r="V753" s="32" t="str">
        <f t="shared" si="4"/>
        <v/>
      </c>
      <c r="W753" s="39" t="str">
        <f>IFERROR(__xludf.DUMMYFUNCTION(" IF(Account!$F753&lt;&gt;"""", SPLIT(Account!$F753, "" ""), """")"),"")</f>
        <v/>
      </c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</row>
    <row r="754">
      <c r="A754" s="12"/>
      <c r="B754" s="12"/>
      <c r="C754" s="12"/>
      <c r="D754" s="12"/>
      <c r="E754" s="12"/>
      <c r="F754" s="13"/>
      <c r="G754" s="291"/>
      <c r="H754" s="12"/>
      <c r="I754" s="12"/>
      <c r="J754" s="12"/>
      <c r="K754" s="12"/>
      <c r="L754" s="13"/>
      <c r="M754" s="30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2" t="str">
        <f>IFERROR(__xludf.DUMMYFUNCTION("IF(Account!$F754&lt;&gt;"""", VALUE(REGEXREPLACE($I754, ""\,"", ""."")), """")"),"")</f>
        <v/>
      </c>
      <c r="O754" s="33" t="str">
        <f>IF(Account!$F754&lt;&gt;"", DATEVALUE(MID($A754,4,3) &amp; LEFT($A754,3) &amp; RIGHT($A754,4)) + TIMEVALUE($B754), "")</f>
        <v/>
      </c>
      <c r="P754" s="34" t="str">
        <f>IF(Account!$F754&lt;&gt;"", DATEVALUE(MID($C754,4,3) &amp; LEFT($C754,3) &amp; RIGHT($C754,4)), "")</f>
        <v/>
      </c>
      <c r="Q754" s="35" t="str">
        <f t="array" ref="Q754">IF($R754&lt;&gt;"",IFERROR(INDEX(ISIN!$B:$B,MATCH($R754,ISIN!$C:$C,0))),)</f>
        <v/>
      </c>
      <c r="R754" s="36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5" t="str">
        <f t="shared" si="1"/>
        <v/>
      </c>
      <c r="T754" s="37" t="str">
        <f t="shared" si="2"/>
        <v/>
      </c>
      <c r="U754" s="38" t="str">
        <f t="shared" si="3"/>
        <v/>
      </c>
      <c r="V754" s="32" t="str">
        <f t="shared" si="4"/>
        <v/>
      </c>
      <c r="W754" s="39" t="str">
        <f>IFERROR(__xludf.DUMMYFUNCTION(" IF(Account!$F754&lt;&gt;"""", SPLIT(Account!$F754, "" ""), """")"),"")</f>
        <v/>
      </c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</row>
    <row r="755">
      <c r="A755" s="12"/>
      <c r="B755" s="12"/>
      <c r="C755" s="12"/>
      <c r="D755" s="12"/>
      <c r="E755" s="12"/>
      <c r="F755" s="13"/>
      <c r="G755" s="291"/>
      <c r="H755" s="12"/>
      <c r="I755" s="12"/>
      <c r="J755" s="12"/>
      <c r="K755" s="12"/>
      <c r="L755" s="13"/>
      <c r="M755" s="30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2" t="str">
        <f>IFERROR(__xludf.DUMMYFUNCTION("IF(Account!$F755&lt;&gt;"""", VALUE(REGEXREPLACE($I755, ""\,"", ""."")), """")"),"")</f>
        <v/>
      </c>
      <c r="O755" s="33" t="str">
        <f>IF(Account!$F755&lt;&gt;"", DATEVALUE(MID($A755,4,3) &amp; LEFT($A755,3) &amp; RIGHT($A755,4)) + TIMEVALUE($B755), "")</f>
        <v/>
      </c>
      <c r="P755" s="34" t="str">
        <f>IF(Account!$F755&lt;&gt;"", DATEVALUE(MID($C755,4,3) &amp; LEFT($C755,3) &amp; RIGHT($C755,4)), "")</f>
        <v/>
      </c>
      <c r="Q755" s="35" t="str">
        <f t="array" ref="Q755">IF($R755&lt;&gt;"",IFERROR(INDEX(ISIN!$B:$B,MATCH($R755,ISIN!$C:$C,0))),)</f>
        <v/>
      </c>
      <c r="R755" s="36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5" t="str">
        <f t="shared" si="1"/>
        <v/>
      </c>
      <c r="T755" s="37" t="str">
        <f t="shared" si="2"/>
        <v/>
      </c>
      <c r="U755" s="38" t="str">
        <f t="shared" si="3"/>
        <v/>
      </c>
      <c r="V755" s="32" t="str">
        <f t="shared" si="4"/>
        <v/>
      </c>
      <c r="W755" s="39" t="str">
        <f>IFERROR(__xludf.DUMMYFUNCTION(" IF(Account!$F755&lt;&gt;"""", SPLIT(Account!$F755, "" ""), """")"),"")</f>
        <v/>
      </c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</row>
    <row r="756">
      <c r="A756" s="12"/>
      <c r="B756" s="12"/>
      <c r="C756" s="12"/>
      <c r="D756" s="12"/>
      <c r="E756" s="12"/>
      <c r="F756" s="13"/>
      <c r="G756" s="291"/>
      <c r="H756" s="12"/>
      <c r="I756" s="12"/>
      <c r="J756" s="12"/>
      <c r="K756" s="12"/>
      <c r="L756" s="13"/>
      <c r="M756" s="30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2" t="str">
        <f>IFERROR(__xludf.DUMMYFUNCTION("IF(Account!$F756&lt;&gt;"""", VALUE(REGEXREPLACE($I756, ""\,"", ""."")), """")"),"")</f>
        <v/>
      </c>
      <c r="O756" s="33" t="str">
        <f>IF(Account!$F756&lt;&gt;"", DATEVALUE(MID($A756,4,3) &amp; LEFT($A756,3) &amp; RIGHT($A756,4)) + TIMEVALUE($B756), "")</f>
        <v/>
      </c>
      <c r="P756" s="34" t="str">
        <f>IF(Account!$F756&lt;&gt;"", DATEVALUE(MID($C756,4,3) &amp; LEFT($C756,3) &amp; RIGHT($C756,4)), "")</f>
        <v/>
      </c>
      <c r="Q756" s="35" t="str">
        <f t="array" ref="Q756">IF($R756&lt;&gt;"",IFERROR(INDEX(ISIN!$B:$B,MATCH($R756,ISIN!$C:$C,0))),)</f>
        <v/>
      </c>
      <c r="R756" s="36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5" t="str">
        <f t="shared" si="1"/>
        <v/>
      </c>
      <c r="T756" s="37" t="str">
        <f t="shared" si="2"/>
        <v/>
      </c>
      <c r="U756" s="38" t="str">
        <f t="shared" si="3"/>
        <v/>
      </c>
      <c r="V756" s="32" t="str">
        <f t="shared" si="4"/>
        <v/>
      </c>
      <c r="W756" s="39" t="str">
        <f>IFERROR(__xludf.DUMMYFUNCTION(" IF(Account!$F756&lt;&gt;"""", SPLIT(Account!$F756, "" ""), """")"),"")</f>
        <v/>
      </c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</row>
    <row r="757">
      <c r="A757" s="12"/>
      <c r="B757" s="12"/>
      <c r="C757" s="12"/>
      <c r="D757" s="12"/>
      <c r="E757" s="12"/>
      <c r="F757" s="13"/>
      <c r="G757" s="291"/>
      <c r="H757" s="12"/>
      <c r="I757" s="12"/>
      <c r="J757" s="12"/>
      <c r="K757" s="12"/>
      <c r="L757" s="13"/>
      <c r="M757" s="30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2" t="str">
        <f>IFERROR(__xludf.DUMMYFUNCTION("IF(Account!$F757&lt;&gt;"""", VALUE(REGEXREPLACE($I757, ""\,"", ""."")), """")"),"")</f>
        <v/>
      </c>
      <c r="O757" s="33" t="str">
        <f>IF(Account!$F757&lt;&gt;"", DATEVALUE(MID($A757,4,3) &amp; LEFT($A757,3) &amp; RIGHT($A757,4)) + TIMEVALUE($B757), "")</f>
        <v/>
      </c>
      <c r="P757" s="34" t="str">
        <f>IF(Account!$F757&lt;&gt;"", DATEVALUE(MID($C757,4,3) &amp; LEFT($C757,3) &amp; RIGHT($C757,4)), "")</f>
        <v/>
      </c>
      <c r="Q757" s="35" t="str">
        <f t="array" ref="Q757">IF($R757&lt;&gt;"",IFERROR(INDEX(ISIN!$B:$B,MATCH($R757,ISIN!$C:$C,0))),)</f>
        <v/>
      </c>
      <c r="R757" s="36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5" t="str">
        <f t="shared" si="1"/>
        <v/>
      </c>
      <c r="T757" s="37" t="str">
        <f t="shared" si="2"/>
        <v/>
      </c>
      <c r="U757" s="38" t="str">
        <f t="shared" si="3"/>
        <v/>
      </c>
      <c r="V757" s="32" t="str">
        <f t="shared" si="4"/>
        <v/>
      </c>
      <c r="W757" s="39" t="str">
        <f>IFERROR(__xludf.DUMMYFUNCTION(" IF(Account!$F757&lt;&gt;"""", SPLIT(Account!$F757, "" ""), """")"),"")</f>
        <v/>
      </c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</row>
    <row r="758">
      <c r="A758" s="12"/>
      <c r="B758" s="12"/>
      <c r="C758" s="12"/>
      <c r="D758" s="12"/>
      <c r="E758" s="12"/>
      <c r="F758" s="13"/>
      <c r="G758" s="291"/>
      <c r="H758" s="291"/>
      <c r="I758" s="291"/>
      <c r="J758" s="12"/>
      <c r="K758" s="12"/>
      <c r="L758" s="335"/>
      <c r="M758" s="30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2" t="str">
        <f>IFERROR(__xludf.DUMMYFUNCTION("IF(Account!$F758&lt;&gt;"""", VALUE(REGEXREPLACE($I758, ""\,"", ""."")), """")"),"")</f>
        <v/>
      </c>
      <c r="O758" s="33" t="str">
        <f>IF(Account!$F758&lt;&gt;"", DATEVALUE(MID($A758,4,3) &amp; LEFT($A758,3) &amp; RIGHT($A758,4)) + TIMEVALUE($B758), "")</f>
        <v/>
      </c>
      <c r="P758" s="34" t="str">
        <f>IF(Account!$F758&lt;&gt;"", DATEVALUE(MID($C758,4,3) &amp; LEFT($C758,3) &amp; RIGHT($C758,4)), "")</f>
        <v/>
      </c>
      <c r="Q758" s="35" t="str">
        <f t="array" ref="Q758">IF($R758&lt;&gt;"",IFERROR(INDEX(ISIN!$B:$B,MATCH($R758,ISIN!$C:$C,0))),)</f>
        <v/>
      </c>
      <c r="R758" s="36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5" t="str">
        <f t="shared" si="1"/>
        <v/>
      </c>
      <c r="T758" s="37" t="str">
        <f t="shared" si="2"/>
        <v/>
      </c>
      <c r="U758" s="38" t="str">
        <f t="shared" si="3"/>
        <v/>
      </c>
      <c r="V758" s="32" t="str">
        <f t="shared" si="4"/>
        <v/>
      </c>
      <c r="W758" s="39" t="str">
        <f>IFERROR(__xludf.DUMMYFUNCTION(" IF(Account!$F758&lt;&gt;"""", SPLIT(Account!$F758, "" ""), """")"),"")</f>
        <v/>
      </c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</row>
    <row r="759">
      <c r="A759" s="12"/>
      <c r="B759" s="12"/>
      <c r="C759" s="12"/>
      <c r="D759" s="291"/>
      <c r="E759" s="291"/>
      <c r="F759" s="13"/>
      <c r="G759" s="291"/>
      <c r="H759" s="12"/>
      <c r="I759" s="12"/>
      <c r="J759" s="12"/>
      <c r="K759" s="12"/>
      <c r="L759" s="335"/>
      <c r="M759" s="30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2" t="str">
        <f>IFERROR(__xludf.DUMMYFUNCTION("IF(Account!$F759&lt;&gt;"""", VALUE(REGEXREPLACE($I759, ""\,"", ""."")), """")"),"")</f>
        <v/>
      </c>
      <c r="O759" s="33" t="str">
        <f>IF(Account!$F759&lt;&gt;"", DATEVALUE(MID($A759,4,3) &amp; LEFT($A759,3) &amp; RIGHT($A759,4)) + TIMEVALUE($B759), "")</f>
        <v/>
      </c>
      <c r="P759" s="34" t="str">
        <f>IF(Account!$F759&lt;&gt;"", DATEVALUE(MID($C759,4,3) &amp; LEFT($C759,3) &amp; RIGHT($C759,4)), "")</f>
        <v/>
      </c>
      <c r="Q759" s="35" t="str">
        <f t="array" ref="Q759">IF($R759&lt;&gt;"",IFERROR(INDEX(ISIN!$B:$B,MATCH($R759,ISIN!$C:$C,0))),)</f>
        <v/>
      </c>
      <c r="R759" s="36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5" t="str">
        <f t="shared" si="1"/>
        <v/>
      </c>
      <c r="T759" s="37" t="str">
        <f t="shared" si="2"/>
        <v/>
      </c>
      <c r="U759" s="38" t="str">
        <f t="shared" si="3"/>
        <v/>
      </c>
      <c r="V759" s="32" t="str">
        <f t="shared" si="4"/>
        <v/>
      </c>
      <c r="W759" s="39" t="str">
        <f>IFERROR(__xludf.DUMMYFUNCTION(" IF(Account!$F759&lt;&gt;"""", SPLIT(Account!$F759, "" ""), """")"),"")</f>
        <v/>
      </c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</row>
    <row r="760">
      <c r="A760" s="12"/>
      <c r="B760" s="12"/>
      <c r="C760" s="12"/>
      <c r="D760" s="291"/>
      <c r="E760" s="291"/>
      <c r="F760" s="13"/>
      <c r="G760" s="12"/>
      <c r="H760" s="12"/>
      <c r="I760" s="12"/>
      <c r="J760" s="12"/>
      <c r="K760" s="12"/>
      <c r="L760" s="335"/>
      <c r="M760" s="30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2" t="str">
        <f>IFERROR(__xludf.DUMMYFUNCTION("IF(Account!$F760&lt;&gt;"""", VALUE(REGEXREPLACE($I760, ""\,"", ""."")), """")"),"")</f>
        <v/>
      </c>
      <c r="O760" s="33" t="str">
        <f>IF(Account!$F760&lt;&gt;"", DATEVALUE(MID($A760,4,3) &amp; LEFT($A760,3) &amp; RIGHT($A760,4)) + TIMEVALUE($B760), "")</f>
        <v/>
      </c>
      <c r="P760" s="34" t="str">
        <f>IF(Account!$F760&lt;&gt;"", DATEVALUE(MID($C760,4,3) &amp; LEFT($C760,3) &amp; RIGHT($C760,4)), "")</f>
        <v/>
      </c>
      <c r="Q760" s="35" t="str">
        <f t="array" ref="Q760">IF($R760&lt;&gt;"",IFERROR(INDEX(ISIN!$B:$B,MATCH($R760,ISIN!$C:$C,0))),)</f>
        <v/>
      </c>
      <c r="R760" s="36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5" t="str">
        <f t="shared" si="1"/>
        <v/>
      </c>
      <c r="T760" s="37" t="str">
        <f t="shared" si="2"/>
        <v/>
      </c>
      <c r="U760" s="38" t="str">
        <f t="shared" si="3"/>
        <v/>
      </c>
      <c r="V760" s="32" t="str">
        <f t="shared" si="4"/>
        <v/>
      </c>
      <c r="W760" s="39" t="str">
        <f>IFERROR(__xludf.DUMMYFUNCTION(" IF(Account!$F760&lt;&gt;"""", SPLIT(Account!$F760, "" ""), """")"),"")</f>
        <v/>
      </c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</row>
    <row r="761">
      <c r="A761" s="12"/>
      <c r="B761" s="12"/>
      <c r="C761" s="12"/>
      <c r="D761" s="12"/>
      <c r="E761" s="12"/>
      <c r="F761" s="13"/>
      <c r="G761" s="291"/>
      <c r="H761" s="291"/>
      <c r="I761" s="291"/>
      <c r="J761" s="12"/>
      <c r="K761" s="12"/>
      <c r="L761" s="335"/>
      <c r="M761" s="30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2" t="str">
        <f>IFERROR(__xludf.DUMMYFUNCTION("IF(Account!$F761&lt;&gt;"""", VALUE(REGEXREPLACE($I761, ""\,"", ""."")), """")"),"")</f>
        <v/>
      </c>
      <c r="O761" s="33" t="str">
        <f>IF(Account!$F761&lt;&gt;"", DATEVALUE(MID($A761,4,3) &amp; LEFT($A761,3) &amp; RIGHT($A761,4)) + TIMEVALUE($B761), "")</f>
        <v/>
      </c>
      <c r="P761" s="34" t="str">
        <f>IF(Account!$F761&lt;&gt;"", DATEVALUE(MID($C761,4,3) &amp; LEFT($C761,3) &amp; RIGHT($C761,4)), "")</f>
        <v/>
      </c>
      <c r="Q761" s="35" t="str">
        <f t="array" ref="Q761">IF($R761&lt;&gt;"",IFERROR(INDEX(ISIN!$B:$B,MATCH($R761,ISIN!$C:$C,0))),)</f>
        <v/>
      </c>
      <c r="R761" s="36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5" t="str">
        <f t="shared" si="1"/>
        <v/>
      </c>
      <c r="T761" s="37" t="str">
        <f t="shared" si="2"/>
        <v/>
      </c>
      <c r="U761" s="38" t="str">
        <f t="shared" si="3"/>
        <v/>
      </c>
      <c r="V761" s="32" t="str">
        <f t="shared" si="4"/>
        <v/>
      </c>
      <c r="W761" s="39" t="str">
        <f>IFERROR(__xludf.DUMMYFUNCTION(" IF(Account!$F761&lt;&gt;"""", SPLIT(Account!$F761, "" ""), """")"),"")</f>
        <v/>
      </c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</row>
    <row r="762">
      <c r="A762" s="12"/>
      <c r="B762" s="12"/>
      <c r="C762" s="12"/>
      <c r="D762" s="12"/>
      <c r="E762" s="12"/>
      <c r="F762" s="13"/>
      <c r="G762" s="291"/>
      <c r="H762" s="12"/>
      <c r="I762" s="12"/>
      <c r="J762" s="12"/>
      <c r="K762" s="12"/>
      <c r="L762" s="335"/>
      <c r="M762" s="30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2" t="str">
        <f>IFERROR(__xludf.DUMMYFUNCTION("IF(Account!$F762&lt;&gt;"""", VALUE(REGEXREPLACE($I762, ""\,"", ""."")), """")"),"")</f>
        <v/>
      </c>
      <c r="O762" s="33" t="str">
        <f>IF(Account!$F762&lt;&gt;"", DATEVALUE(MID($A762,4,3) &amp; LEFT($A762,3) &amp; RIGHT($A762,4)) + TIMEVALUE($B762), "")</f>
        <v/>
      </c>
      <c r="P762" s="34" t="str">
        <f>IF(Account!$F762&lt;&gt;"", DATEVALUE(MID($C762,4,3) &amp; LEFT($C762,3) &amp; RIGHT($C762,4)), "")</f>
        <v/>
      </c>
      <c r="Q762" s="35" t="str">
        <f t="array" ref="Q762">IF($R762&lt;&gt;"",IFERROR(INDEX(ISIN!$B:$B,MATCH($R762,ISIN!$C:$C,0))),)</f>
        <v/>
      </c>
      <c r="R762" s="36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5" t="str">
        <f t="shared" si="1"/>
        <v/>
      </c>
      <c r="T762" s="37" t="str">
        <f t="shared" si="2"/>
        <v/>
      </c>
      <c r="U762" s="38" t="str">
        <f t="shared" si="3"/>
        <v/>
      </c>
      <c r="V762" s="32" t="str">
        <f t="shared" si="4"/>
        <v/>
      </c>
      <c r="W762" s="39" t="str">
        <f>IFERROR(__xludf.DUMMYFUNCTION(" IF(Account!$F762&lt;&gt;"""", SPLIT(Account!$F762, "" ""), """")"),"")</f>
        <v/>
      </c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</row>
    <row r="763">
      <c r="A763" s="12"/>
      <c r="B763" s="12"/>
      <c r="C763" s="12"/>
      <c r="D763" s="291"/>
      <c r="E763" s="291"/>
      <c r="F763" s="13"/>
      <c r="G763" s="291"/>
      <c r="H763" s="12"/>
      <c r="I763" s="12"/>
      <c r="J763" s="12"/>
      <c r="K763" s="12"/>
      <c r="L763" s="335"/>
      <c r="M763" s="30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2" t="str">
        <f>IFERROR(__xludf.DUMMYFUNCTION("IF(Account!$F763&lt;&gt;"""", VALUE(REGEXREPLACE($I763, ""\,"", ""."")), """")"),"")</f>
        <v/>
      </c>
      <c r="O763" s="33" t="str">
        <f>IF(Account!$F763&lt;&gt;"", DATEVALUE(MID($A763,4,3) &amp; LEFT($A763,3) &amp; RIGHT($A763,4)) + TIMEVALUE($B763), "")</f>
        <v/>
      </c>
      <c r="P763" s="34" t="str">
        <f>IF(Account!$F763&lt;&gt;"", DATEVALUE(MID($C763,4,3) &amp; LEFT($C763,3) &amp; RIGHT($C763,4)), "")</f>
        <v/>
      </c>
      <c r="Q763" s="35" t="str">
        <f t="array" ref="Q763">IF($R763&lt;&gt;"",IFERROR(INDEX(ISIN!$B:$B,MATCH($R763,ISIN!$C:$C,0))),)</f>
        <v/>
      </c>
      <c r="R763" s="36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5" t="str">
        <f t="shared" si="1"/>
        <v/>
      </c>
      <c r="T763" s="37" t="str">
        <f t="shared" si="2"/>
        <v/>
      </c>
      <c r="U763" s="38" t="str">
        <f t="shared" si="3"/>
        <v/>
      </c>
      <c r="V763" s="32" t="str">
        <f t="shared" si="4"/>
        <v/>
      </c>
      <c r="W763" s="39" t="str">
        <f>IFERROR(__xludf.DUMMYFUNCTION(" IF(Account!$F763&lt;&gt;"""", SPLIT(Account!$F763, "" ""), """")"),"")</f>
        <v/>
      </c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</row>
    <row r="764">
      <c r="A764" s="12"/>
      <c r="B764" s="12"/>
      <c r="C764" s="12"/>
      <c r="D764" s="291"/>
      <c r="E764" s="291"/>
      <c r="F764" s="13"/>
      <c r="G764" s="291"/>
      <c r="H764" s="12"/>
      <c r="I764" s="12"/>
      <c r="J764" s="12"/>
      <c r="K764" s="12"/>
      <c r="L764" s="335"/>
      <c r="M764" s="30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2" t="str">
        <f>IFERROR(__xludf.DUMMYFUNCTION("IF(Account!$F764&lt;&gt;"""", VALUE(REGEXREPLACE($I764, ""\,"", ""."")), """")"),"")</f>
        <v/>
      </c>
      <c r="O764" s="33" t="str">
        <f>IF(Account!$F764&lt;&gt;"", DATEVALUE(MID($A764,4,3) &amp; LEFT($A764,3) &amp; RIGHT($A764,4)) + TIMEVALUE($B764), "")</f>
        <v/>
      </c>
      <c r="P764" s="34" t="str">
        <f>IF(Account!$F764&lt;&gt;"", DATEVALUE(MID($C764,4,3) &amp; LEFT($C764,3) &amp; RIGHT($C764,4)), "")</f>
        <v/>
      </c>
      <c r="Q764" s="35" t="str">
        <f t="array" ref="Q764">IF($R764&lt;&gt;"",IFERROR(INDEX(ISIN!$B:$B,MATCH($R764,ISIN!$C:$C,0))),)</f>
        <v/>
      </c>
      <c r="R764" s="36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5" t="str">
        <f t="shared" si="1"/>
        <v/>
      </c>
      <c r="T764" s="37" t="str">
        <f t="shared" si="2"/>
        <v/>
      </c>
      <c r="U764" s="38" t="str">
        <f t="shared" si="3"/>
        <v/>
      </c>
      <c r="V764" s="32" t="str">
        <f t="shared" si="4"/>
        <v/>
      </c>
      <c r="W764" s="39" t="str">
        <f>IFERROR(__xludf.DUMMYFUNCTION(" IF(Account!$F764&lt;&gt;"""", SPLIT(Account!$F764, "" ""), """")"),"")</f>
        <v/>
      </c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</row>
    <row r="765">
      <c r="A765" s="12"/>
      <c r="B765" s="12"/>
      <c r="C765" s="12"/>
      <c r="D765" s="291"/>
      <c r="E765" s="291"/>
      <c r="F765" s="13"/>
      <c r="G765" s="291"/>
      <c r="H765" s="12"/>
      <c r="I765" s="12"/>
      <c r="J765" s="12"/>
      <c r="K765" s="12"/>
      <c r="L765" s="335"/>
      <c r="M765" s="30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2" t="str">
        <f>IFERROR(__xludf.DUMMYFUNCTION("IF(Account!$F765&lt;&gt;"""", VALUE(REGEXREPLACE($I765, ""\,"", ""."")), """")"),"")</f>
        <v/>
      </c>
      <c r="O765" s="33" t="str">
        <f>IF(Account!$F765&lt;&gt;"", DATEVALUE(MID($A765,4,3) &amp; LEFT($A765,3) &amp; RIGHT($A765,4)) + TIMEVALUE($B765), "")</f>
        <v/>
      </c>
      <c r="P765" s="34" t="str">
        <f>IF(Account!$F765&lt;&gt;"", DATEVALUE(MID($C765,4,3) &amp; LEFT($C765,3) &amp; RIGHT($C765,4)), "")</f>
        <v/>
      </c>
      <c r="Q765" s="35" t="str">
        <f t="array" ref="Q765">IF($R765&lt;&gt;"",IFERROR(INDEX(ISIN!$B:$B,MATCH($R765,ISIN!$C:$C,0))),)</f>
        <v/>
      </c>
      <c r="R765" s="36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5" t="str">
        <f t="shared" si="1"/>
        <v/>
      </c>
      <c r="T765" s="37" t="str">
        <f t="shared" si="2"/>
        <v/>
      </c>
      <c r="U765" s="38" t="str">
        <f t="shared" si="3"/>
        <v/>
      </c>
      <c r="V765" s="32" t="str">
        <f t="shared" si="4"/>
        <v/>
      </c>
      <c r="W765" s="39" t="str">
        <f>IFERROR(__xludf.DUMMYFUNCTION(" IF(Account!$F765&lt;&gt;"""", SPLIT(Account!$F765, "" ""), """")"),"")</f>
        <v/>
      </c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</row>
    <row r="766">
      <c r="A766" s="12"/>
      <c r="B766" s="12"/>
      <c r="C766" s="12"/>
      <c r="D766" s="291"/>
      <c r="E766" s="291"/>
      <c r="F766" s="13"/>
      <c r="G766" s="12"/>
      <c r="H766" s="12"/>
      <c r="I766" s="12"/>
      <c r="J766" s="12"/>
      <c r="K766" s="12"/>
      <c r="L766" s="335"/>
      <c r="M766" s="30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2" t="str">
        <f>IFERROR(__xludf.DUMMYFUNCTION("IF(Account!$F766&lt;&gt;"""", VALUE(REGEXREPLACE($I766, ""\,"", ""."")), """")"),"")</f>
        <v/>
      </c>
      <c r="O766" s="33" t="str">
        <f>IF(Account!$F766&lt;&gt;"", DATEVALUE(MID($A766,4,3) &amp; LEFT($A766,3) &amp; RIGHT($A766,4)) + TIMEVALUE($B766), "")</f>
        <v/>
      </c>
      <c r="P766" s="34" t="str">
        <f>IF(Account!$F766&lt;&gt;"", DATEVALUE(MID($C766,4,3) &amp; LEFT($C766,3) &amp; RIGHT($C766,4)), "")</f>
        <v/>
      </c>
      <c r="Q766" s="35" t="str">
        <f t="array" ref="Q766">IF($R766&lt;&gt;"",IFERROR(INDEX(ISIN!$B:$B,MATCH($R766,ISIN!$C:$C,0))),)</f>
        <v/>
      </c>
      <c r="R766" s="36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5" t="str">
        <f t="shared" si="1"/>
        <v/>
      </c>
      <c r="T766" s="37" t="str">
        <f t="shared" si="2"/>
        <v/>
      </c>
      <c r="U766" s="38" t="str">
        <f t="shared" si="3"/>
        <v/>
      </c>
      <c r="V766" s="32" t="str">
        <f t="shared" si="4"/>
        <v/>
      </c>
      <c r="W766" s="39" t="str">
        <f>IFERROR(__xludf.DUMMYFUNCTION(" IF(Account!$F766&lt;&gt;"""", SPLIT(Account!$F766, "" ""), """")"),"")</f>
        <v/>
      </c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</row>
    <row r="767">
      <c r="A767" s="12"/>
      <c r="B767" s="12"/>
      <c r="C767" s="12"/>
      <c r="D767" s="12"/>
      <c r="E767" s="12"/>
      <c r="F767" s="13"/>
      <c r="G767" s="291"/>
      <c r="H767" s="12"/>
      <c r="I767" s="12"/>
      <c r="J767" s="12"/>
      <c r="K767" s="12"/>
      <c r="L767" s="335"/>
      <c r="M767" s="30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2" t="str">
        <f>IFERROR(__xludf.DUMMYFUNCTION("IF(Account!$F767&lt;&gt;"""", VALUE(REGEXREPLACE($I767, ""\,"", ""."")), """")"),"")</f>
        <v/>
      </c>
      <c r="O767" s="33" t="str">
        <f>IF(Account!$F767&lt;&gt;"", DATEVALUE(MID($A767,4,3) &amp; LEFT($A767,3) &amp; RIGHT($A767,4)) + TIMEVALUE($B767), "")</f>
        <v/>
      </c>
      <c r="P767" s="34" t="str">
        <f>IF(Account!$F767&lt;&gt;"", DATEVALUE(MID($C767,4,3) &amp; LEFT($C767,3) &amp; RIGHT($C767,4)), "")</f>
        <v/>
      </c>
      <c r="Q767" s="35" t="str">
        <f t="array" ref="Q767">IF($R767&lt;&gt;"",IFERROR(INDEX(ISIN!$B:$B,MATCH($R767,ISIN!$C:$C,0))),)</f>
        <v/>
      </c>
      <c r="R767" s="36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5" t="str">
        <f t="shared" si="1"/>
        <v/>
      </c>
      <c r="T767" s="37" t="str">
        <f t="shared" si="2"/>
        <v/>
      </c>
      <c r="U767" s="38" t="str">
        <f t="shared" si="3"/>
        <v/>
      </c>
      <c r="V767" s="32" t="str">
        <f t="shared" si="4"/>
        <v/>
      </c>
      <c r="W767" s="39" t="str">
        <f>IFERROR(__xludf.DUMMYFUNCTION(" IF(Account!$F767&lt;&gt;"""", SPLIT(Account!$F767, "" ""), """")"),"")</f>
        <v/>
      </c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</row>
    <row r="768">
      <c r="A768" s="12"/>
      <c r="B768" s="12"/>
      <c r="C768" s="12"/>
      <c r="D768" s="12"/>
      <c r="E768" s="12"/>
      <c r="F768" s="13"/>
      <c r="G768" s="291"/>
      <c r="H768" s="12"/>
      <c r="I768" s="12"/>
      <c r="J768" s="12"/>
      <c r="K768" s="12"/>
      <c r="L768" s="335"/>
      <c r="M768" s="30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2" t="str">
        <f>IFERROR(__xludf.DUMMYFUNCTION("IF(Account!$F768&lt;&gt;"""", VALUE(REGEXREPLACE($I768, ""\,"", ""."")), """")"),"")</f>
        <v/>
      </c>
      <c r="O768" s="33" t="str">
        <f>IF(Account!$F768&lt;&gt;"", DATEVALUE(MID($A768,4,3) &amp; LEFT($A768,3) &amp; RIGHT($A768,4)) + TIMEVALUE($B768), "")</f>
        <v/>
      </c>
      <c r="P768" s="34" t="str">
        <f>IF(Account!$F768&lt;&gt;"", DATEVALUE(MID($C768,4,3) &amp; LEFT($C768,3) &amp; RIGHT($C768,4)), "")</f>
        <v/>
      </c>
      <c r="Q768" s="35" t="str">
        <f t="array" ref="Q768">IF($R768&lt;&gt;"",IFERROR(INDEX(ISIN!$B:$B,MATCH($R768,ISIN!$C:$C,0))),)</f>
        <v/>
      </c>
      <c r="R768" s="36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5" t="str">
        <f t="shared" si="1"/>
        <v/>
      </c>
      <c r="T768" s="37" t="str">
        <f t="shared" si="2"/>
        <v/>
      </c>
      <c r="U768" s="38" t="str">
        <f t="shared" si="3"/>
        <v/>
      </c>
      <c r="V768" s="32" t="str">
        <f t="shared" si="4"/>
        <v/>
      </c>
      <c r="W768" s="39" t="str">
        <f>IFERROR(__xludf.DUMMYFUNCTION(" IF(Account!$F768&lt;&gt;"""", SPLIT(Account!$F768, "" ""), """")"),"")</f>
        <v/>
      </c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</row>
    <row r="769">
      <c r="A769" s="12"/>
      <c r="B769" s="12"/>
      <c r="C769" s="12"/>
      <c r="D769" s="12"/>
      <c r="E769" s="12"/>
      <c r="F769" s="13"/>
      <c r="G769" s="291"/>
      <c r="H769" s="12"/>
      <c r="I769" s="12"/>
      <c r="J769" s="12"/>
      <c r="K769" s="12"/>
      <c r="L769" s="335"/>
      <c r="M769" s="30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2" t="str">
        <f>IFERROR(__xludf.DUMMYFUNCTION("IF(Account!$F769&lt;&gt;"""", VALUE(REGEXREPLACE($I769, ""\,"", ""."")), """")"),"")</f>
        <v/>
      </c>
      <c r="O769" s="33" t="str">
        <f>IF(Account!$F769&lt;&gt;"", DATEVALUE(MID($A769,4,3) &amp; LEFT($A769,3) &amp; RIGHT($A769,4)) + TIMEVALUE($B769), "")</f>
        <v/>
      </c>
      <c r="P769" s="34" t="str">
        <f>IF(Account!$F769&lt;&gt;"", DATEVALUE(MID($C769,4,3) &amp; LEFT($C769,3) &amp; RIGHT($C769,4)), "")</f>
        <v/>
      </c>
      <c r="Q769" s="35" t="str">
        <f t="array" ref="Q769">IF($R769&lt;&gt;"",IFERROR(INDEX(ISIN!$B:$B,MATCH($R769,ISIN!$C:$C,0))),)</f>
        <v/>
      </c>
      <c r="R769" s="36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5" t="str">
        <f t="shared" si="1"/>
        <v/>
      </c>
      <c r="T769" s="37" t="str">
        <f t="shared" si="2"/>
        <v/>
      </c>
      <c r="U769" s="38" t="str">
        <f t="shared" si="3"/>
        <v/>
      </c>
      <c r="V769" s="32" t="str">
        <f t="shared" si="4"/>
        <v/>
      </c>
      <c r="W769" s="39" t="str">
        <f>IFERROR(__xludf.DUMMYFUNCTION(" IF(Account!$F769&lt;&gt;"""", SPLIT(Account!$F769, "" ""), """")"),"")</f>
        <v/>
      </c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</row>
    <row r="770">
      <c r="A770" s="12"/>
      <c r="B770" s="12"/>
      <c r="C770" s="12"/>
      <c r="D770" s="12"/>
      <c r="E770" s="12"/>
      <c r="F770" s="13"/>
      <c r="G770" s="291"/>
      <c r="H770" s="12"/>
      <c r="I770" s="12"/>
      <c r="J770" s="12"/>
      <c r="K770" s="12"/>
      <c r="L770" s="335"/>
      <c r="M770" s="30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2" t="str">
        <f>IFERROR(__xludf.DUMMYFUNCTION("IF(Account!$F770&lt;&gt;"""", VALUE(REGEXREPLACE($I770, ""\,"", ""."")), """")"),"")</f>
        <v/>
      </c>
      <c r="O770" s="33" t="str">
        <f>IF(Account!$F770&lt;&gt;"", DATEVALUE(MID($A770,4,3) &amp; LEFT($A770,3) &amp; RIGHT($A770,4)) + TIMEVALUE($B770), "")</f>
        <v/>
      </c>
      <c r="P770" s="34" t="str">
        <f>IF(Account!$F770&lt;&gt;"", DATEVALUE(MID($C770,4,3) &amp; LEFT($C770,3) &amp; RIGHT($C770,4)), "")</f>
        <v/>
      </c>
      <c r="Q770" s="35" t="str">
        <f t="array" ref="Q770">IF($R770&lt;&gt;"",IFERROR(INDEX(ISIN!$B:$B,MATCH($R770,ISIN!$C:$C,0))),)</f>
        <v/>
      </c>
      <c r="R770" s="36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5" t="str">
        <f t="shared" si="1"/>
        <v/>
      </c>
      <c r="T770" s="37" t="str">
        <f t="shared" si="2"/>
        <v/>
      </c>
      <c r="U770" s="38" t="str">
        <f t="shared" si="3"/>
        <v/>
      </c>
      <c r="V770" s="32" t="str">
        <f t="shared" si="4"/>
        <v/>
      </c>
      <c r="W770" s="39" t="str">
        <f>IFERROR(__xludf.DUMMYFUNCTION(" IF(Account!$F770&lt;&gt;"""", SPLIT(Account!$F770, "" ""), """")"),"")</f>
        <v/>
      </c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</row>
    <row r="771">
      <c r="A771" s="12"/>
      <c r="B771" s="12"/>
      <c r="C771" s="12"/>
      <c r="D771" s="12"/>
      <c r="E771" s="12"/>
      <c r="F771" s="13"/>
      <c r="G771" s="291"/>
      <c r="H771" s="12"/>
      <c r="I771" s="12"/>
      <c r="J771" s="12"/>
      <c r="K771" s="12"/>
      <c r="L771" s="335"/>
      <c r="M771" s="30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2" t="str">
        <f>IFERROR(__xludf.DUMMYFUNCTION("IF(Account!$F771&lt;&gt;"""", VALUE(REGEXREPLACE($I771, ""\,"", ""."")), """")"),"")</f>
        <v/>
      </c>
      <c r="O771" s="33" t="str">
        <f>IF(Account!$F771&lt;&gt;"", DATEVALUE(MID($A771,4,3) &amp; LEFT($A771,3) &amp; RIGHT($A771,4)) + TIMEVALUE($B771), "")</f>
        <v/>
      </c>
      <c r="P771" s="34" t="str">
        <f>IF(Account!$F771&lt;&gt;"", DATEVALUE(MID($C771,4,3) &amp; LEFT($C771,3) &amp; RIGHT($C771,4)), "")</f>
        <v/>
      </c>
      <c r="Q771" s="35" t="str">
        <f t="array" ref="Q771">IF($R771&lt;&gt;"",IFERROR(INDEX(ISIN!$B:$B,MATCH($R771,ISIN!$C:$C,0))),)</f>
        <v/>
      </c>
      <c r="R771" s="36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5" t="str">
        <f t="shared" si="1"/>
        <v/>
      </c>
      <c r="T771" s="37" t="str">
        <f t="shared" si="2"/>
        <v/>
      </c>
      <c r="U771" s="38" t="str">
        <f t="shared" si="3"/>
        <v/>
      </c>
      <c r="V771" s="32" t="str">
        <f t="shared" si="4"/>
        <v/>
      </c>
      <c r="W771" s="39" t="str">
        <f>IFERROR(__xludf.DUMMYFUNCTION(" IF(Account!$F771&lt;&gt;"""", SPLIT(Account!$F771, "" ""), """")"),"")</f>
        <v/>
      </c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</row>
    <row r="772">
      <c r="A772" s="12"/>
      <c r="B772" s="12"/>
      <c r="C772" s="12"/>
      <c r="D772" s="12"/>
      <c r="E772" s="12"/>
      <c r="F772" s="13"/>
      <c r="G772" s="291"/>
      <c r="H772" s="12"/>
      <c r="I772" s="12"/>
      <c r="J772" s="12"/>
      <c r="K772" s="12"/>
      <c r="L772" s="335"/>
      <c r="M772" s="30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2" t="str">
        <f>IFERROR(__xludf.DUMMYFUNCTION("IF(Account!$F772&lt;&gt;"""", VALUE(REGEXREPLACE($I772, ""\,"", ""."")), """")"),"")</f>
        <v/>
      </c>
      <c r="O772" s="33" t="str">
        <f>IF(Account!$F772&lt;&gt;"", DATEVALUE(MID($A772,4,3) &amp; LEFT($A772,3) &amp; RIGHT($A772,4)) + TIMEVALUE($B772), "")</f>
        <v/>
      </c>
      <c r="P772" s="34" t="str">
        <f>IF(Account!$F772&lt;&gt;"", DATEVALUE(MID($C772,4,3) &amp; LEFT($C772,3) &amp; RIGHT($C772,4)), "")</f>
        <v/>
      </c>
      <c r="Q772" s="35" t="str">
        <f t="array" ref="Q772">IF($R772&lt;&gt;"",IFERROR(INDEX(ISIN!$B:$B,MATCH($R772,ISIN!$C:$C,0))),)</f>
        <v/>
      </c>
      <c r="R772" s="36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5" t="str">
        <f t="shared" si="1"/>
        <v/>
      </c>
      <c r="T772" s="37" t="str">
        <f t="shared" si="2"/>
        <v/>
      </c>
      <c r="U772" s="38" t="str">
        <f t="shared" si="3"/>
        <v/>
      </c>
      <c r="V772" s="32" t="str">
        <f t="shared" si="4"/>
        <v/>
      </c>
      <c r="W772" s="39" t="str">
        <f>IFERROR(__xludf.DUMMYFUNCTION(" IF(Account!$F772&lt;&gt;"""", SPLIT(Account!$F772, "" ""), """")"),"")</f>
        <v/>
      </c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</row>
    <row r="773">
      <c r="A773" s="12"/>
      <c r="B773" s="12"/>
      <c r="C773" s="12"/>
      <c r="D773" s="12"/>
      <c r="E773" s="12"/>
      <c r="F773" s="13"/>
      <c r="G773" s="291"/>
      <c r="H773" s="12"/>
      <c r="I773" s="12"/>
      <c r="J773" s="12"/>
      <c r="K773" s="12"/>
      <c r="L773" s="13"/>
      <c r="M773" s="30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2" t="str">
        <f>IFERROR(__xludf.DUMMYFUNCTION("IF(Account!$F773&lt;&gt;"""", VALUE(REGEXREPLACE($I773, ""\,"", ""."")), """")"),"")</f>
        <v/>
      </c>
      <c r="O773" s="33" t="str">
        <f>IF(Account!$F773&lt;&gt;"", DATEVALUE(MID($A773,4,3) &amp; LEFT($A773,3) &amp; RIGHT($A773,4)) + TIMEVALUE($B773), "")</f>
        <v/>
      </c>
      <c r="P773" s="34" t="str">
        <f>IF(Account!$F773&lt;&gt;"", DATEVALUE(MID($C773,4,3) &amp; LEFT($C773,3) &amp; RIGHT($C773,4)), "")</f>
        <v/>
      </c>
      <c r="Q773" s="35" t="str">
        <f t="array" ref="Q773">IF($R773&lt;&gt;"",IFERROR(INDEX(ISIN!$B:$B,MATCH($R773,ISIN!$C:$C,0))),)</f>
        <v/>
      </c>
      <c r="R773" s="36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5" t="str">
        <f t="shared" si="1"/>
        <v/>
      </c>
      <c r="T773" s="37" t="str">
        <f t="shared" si="2"/>
        <v/>
      </c>
      <c r="U773" s="38" t="str">
        <f t="shared" si="3"/>
        <v/>
      </c>
      <c r="V773" s="32" t="str">
        <f t="shared" si="4"/>
        <v/>
      </c>
      <c r="W773" s="39" t="str">
        <f>IFERROR(__xludf.DUMMYFUNCTION(" IF(Account!$F773&lt;&gt;"""", SPLIT(Account!$F773, "" ""), """")"),"")</f>
        <v/>
      </c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</row>
    <row r="774">
      <c r="A774" s="12"/>
      <c r="B774" s="12"/>
      <c r="C774" s="12"/>
      <c r="D774" s="12"/>
      <c r="E774" s="12"/>
      <c r="F774" s="13"/>
      <c r="G774" s="291"/>
      <c r="H774" s="12"/>
      <c r="I774" s="12"/>
      <c r="J774" s="12"/>
      <c r="K774" s="12"/>
      <c r="L774" s="13"/>
      <c r="M774" s="30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2" t="str">
        <f>IFERROR(__xludf.DUMMYFUNCTION("IF(Account!$F774&lt;&gt;"""", VALUE(REGEXREPLACE($I774, ""\,"", ""."")), """")"),"")</f>
        <v/>
      </c>
      <c r="O774" s="33" t="str">
        <f>IF(Account!$F774&lt;&gt;"", DATEVALUE(MID($A774,4,3) &amp; LEFT($A774,3) &amp; RIGHT($A774,4)) + TIMEVALUE($B774), "")</f>
        <v/>
      </c>
      <c r="P774" s="34" t="str">
        <f>IF(Account!$F774&lt;&gt;"", DATEVALUE(MID($C774,4,3) &amp; LEFT($C774,3) &amp; RIGHT($C774,4)), "")</f>
        <v/>
      </c>
      <c r="Q774" s="35" t="str">
        <f t="array" ref="Q774">IF($R774&lt;&gt;"",IFERROR(INDEX(ISIN!$B:$B,MATCH($R774,ISIN!$C:$C,0))),)</f>
        <v/>
      </c>
      <c r="R774" s="36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5" t="str">
        <f t="shared" si="1"/>
        <v/>
      </c>
      <c r="T774" s="37" t="str">
        <f t="shared" si="2"/>
        <v/>
      </c>
      <c r="U774" s="38" t="str">
        <f t="shared" si="3"/>
        <v/>
      </c>
      <c r="V774" s="32" t="str">
        <f t="shared" si="4"/>
        <v/>
      </c>
      <c r="W774" s="39" t="str">
        <f>IFERROR(__xludf.DUMMYFUNCTION(" IF(Account!$F774&lt;&gt;"""", SPLIT(Account!$F774, "" ""), """")"),"")</f>
        <v/>
      </c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</row>
    <row r="775">
      <c r="A775" s="12"/>
      <c r="B775" s="12"/>
      <c r="C775" s="12"/>
      <c r="D775" s="12"/>
      <c r="E775" s="12"/>
      <c r="F775" s="13"/>
      <c r="G775" s="291"/>
      <c r="H775" s="12"/>
      <c r="I775" s="12"/>
      <c r="J775" s="12"/>
      <c r="K775" s="12"/>
      <c r="L775" s="13"/>
      <c r="M775" s="30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2" t="str">
        <f>IFERROR(__xludf.DUMMYFUNCTION("IF(Account!$F775&lt;&gt;"""", VALUE(REGEXREPLACE($I775, ""\,"", ""."")), """")"),"")</f>
        <v/>
      </c>
      <c r="O775" s="33" t="str">
        <f>IF(Account!$F775&lt;&gt;"", DATEVALUE(MID($A775,4,3) &amp; LEFT($A775,3) &amp; RIGHT($A775,4)) + TIMEVALUE($B775), "")</f>
        <v/>
      </c>
      <c r="P775" s="34" t="str">
        <f>IF(Account!$F775&lt;&gt;"", DATEVALUE(MID($C775,4,3) &amp; LEFT($C775,3) &amp; RIGHT($C775,4)), "")</f>
        <v/>
      </c>
      <c r="Q775" s="35" t="str">
        <f t="array" ref="Q775">IF($R775&lt;&gt;"",IFERROR(INDEX(ISIN!$B:$B,MATCH($R775,ISIN!$C:$C,0))),)</f>
        <v/>
      </c>
      <c r="R775" s="36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5" t="str">
        <f t="shared" si="1"/>
        <v/>
      </c>
      <c r="T775" s="37" t="str">
        <f t="shared" si="2"/>
        <v/>
      </c>
      <c r="U775" s="38" t="str">
        <f t="shared" si="3"/>
        <v/>
      </c>
      <c r="V775" s="32" t="str">
        <f t="shared" si="4"/>
        <v/>
      </c>
      <c r="W775" s="39" t="str">
        <f>IFERROR(__xludf.DUMMYFUNCTION(" IF(Account!$F775&lt;&gt;"""", SPLIT(Account!$F775, "" ""), """")"),"")</f>
        <v/>
      </c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</row>
    <row r="776">
      <c r="A776" s="12"/>
      <c r="B776" s="12"/>
      <c r="C776" s="12"/>
      <c r="D776" s="12"/>
      <c r="E776" s="12"/>
      <c r="F776" s="13"/>
      <c r="G776" s="12"/>
      <c r="H776" s="12"/>
      <c r="I776" s="12"/>
      <c r="J776" s="12"/>
      <c r="K776" s="12"/>
      <c r="L776" s="13"/>
      <c r="M776" s="30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2" t="str">
        <f>IFERROR(__xludf.DUMMYFUNCTION("IF(Account!$F776&lt;&gt;"""", VALUE(REGEXREPLACE($I776, ""\,"", ""."")), """")"),"")</f>
        <v/>
      </c>
      <c r="O776" s="33" t="str">
        <f>IF(Account!$F776&lt;&gt;"", DATEVALUE(MID($A776,4,3) &amp; LEFT($A776,3) &amp; RIGHT($A776,4)) + TIMEVALUE($B776), "")</f>
        <v/>
      </c>
      <c r="P776" s="34" t="str">
        <f>IF(Account!$F776&lt;&gt;"", DATEVALUE(MID($C776,4,3) &amp; LEFT($C776,3) &amp; RIGHT($C776,4)), "")</f>
        <v/>
      </c>
      <c r="Q776" s="35" t="str">
        <f t="array" ref="Q776">IF($R776&lt;&gt;"",IFERROR(INDEX(ISIN!$B:$B,MATCH($R776,ISIN!$C:$C,0))),)</f>
        <v/>
      </c>
      <c r="R776" s="36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5" t="str">
        <f t="shared" si="1"/>
        <v/>
      </c>
      <c r="T776" s="37" t="str">
        <f t="shared" si="2"/>
        <v/>
      </c>
      <c r="U776" s="38" t="str">
        <f t="shared" si="3"/>
        <v/>
      </c>
      <c r="V776" s="32" t="str">
        <f t="shared" si="4"/>
        <v/>
      </c>
      <c r="W776" s="39" t="str">
        <f>IFERROR(__xludf.DUMMYFUNCTION(" IF(Account!$F776&lt;&gt;"""", SPLIT(Account!$F776, "" ""), """")"),"")</f>
        <v/>
      </c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</row>
    <row r="777">
      <c r="A777" s="12"/>
      <c r="B777" s="12"/>
      <c r="C777" s="12"/>
      <c r="D777" s="12"/>
      <c r="E777" s="12"/>
      <c r="F777" s="13"/>
      <c r="G777" s="291"/>
      <c r="H777" s="12"/>
      <c r="I777" s="12"/>
      <c r="J777" s="12"/>
      <c r="K777" s="12"/>
      <c r="L777" s="13"/>
      <c r="M777" s="30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2" t="str">
        <f>IFERROR(__xludf.DUMMYFUNCTION("IF(Account!$F777&lt;&gt;"""", VALUE(REGEXREPLACE($I777, ""\,"", ""."")), """")"),"")</f>
        <v/>
      </c>
      <c r="O777" s="33" t="str">
        <f>IF(Account!$F777&lt;&gt;"", DATEVALUE(MID($A777,4,3) &amp; LEFT($A777,3) &amp; RIGHT($A777,4)) + TIMEVALUE($B777), "")</f>
        <v/>
      </c>
      <c r="P777" s="34" t="str">
        <f>IF(Account!$F777&lt;&gt;"", DATEVALUE(MID($C777,4,3) &amp; LEFT($C777,3) &amp; RIGHT($C777,4)), "")</f>
        <v/>
      </c>
      <c r="Q777" s="35" t="str">
        <f t="array" ref="Q777">IF($R777&lt;&gt;"",IFERROR(INDEX(ISIN!$B:$B,MATCH($R777,ISIN!$C:$C,0))),)</f>
        <v/>
      </c>
      <c r="R777" s="36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5" t="str">
        <f t="shared" si="1"/>
        <v/>
      </c>
      <c r="T777" s="37" t="str">
        <f t="shared" si="2"/>
        <v/>
      </c>
      <c r="U777" s="38" t="str">
        <f t="shared" si="3"/>
        <v/>
      </c>
      <c r="V777" s="32" t="str">
        <f t="shared" si="4"/>
        <v/>
      </c>
      <c r="W777" s="39" t="str">
        <f>IFERROR(__xludf.DUMMYFUNCTION(" IF(Account!$F777&lt;&gt;"""", SPLIT(Account!$F777, "" ""), """")"),"")</f>
        <v/>
      </c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</row>
    <row r="778">
      <c r="A778" s="12"/>
      <c r="B778" s="12"/>
      <c r="C778" s="12"/>
      <c r="D778" s="12"/>
      <c r="E778" s="12"/>
      <c r="F778" s="13"/>
      <c r="G778" s="291"/>
      <c r="H778" s="12"/>
      <c r="I778" s="12"/>
      <c r="J778" s="12"/>
      <c r="K778" s="12"/>
      <c r="L778" s="13"/>
      <c r="M778" s="30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2" t="str">
        <f>IFERROR(__xludf.DUMMYFUNCTION("IF(Account!$F778&lt;&gt;"""", VALUE(REGEXREPLACE($I778, ""\,"", ""."")), """")"),"")</f>
        <v/>
      </c>
      <c r="O778" s="33" t="str">
        <f>IF(Account!$F778&lt;&gt;"", DATEVALUE(MID($A778,4,3) &amp; LEFT($A778,3) &amp; RIGHT($A778,4)) + TIMEVALUE($B778), "")</f>
        <v/>
      </c>
      <c r="P778" s="34" t="str">
        <f>IF(Account!$F778&lt;&gt;"", DATEVALUE(MID($C778,4,3) &amp; LEFT($C778,3) &amp; RIGHT($C778,4)), "")</f>
        <v/>
      </c>
      <c r="Q778" s="35" t="str">
        <f t="array" ref="Q778">IF($R778&lt;&gt;"",IFERROR(INDEX(ISIN!$B:$B,MATCH($R778,ISIN!$C:$C,0))),)</f>
        <v/>
      </c>
      <c r="R778" s="36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5" t="str">
        <f t="shared" si="1"/>
        <v/>
      </c>
      <c r="T778" s="37" t="str">
        <f t="shared" si="2"/>
        <v/>
      </c>
      <c r="U778" s="38" t="str">
        <f t="shared" si="3"/>
        <v/>
      </c>
      <c r="V778" s="32" t="str">
        <f t="shared" si="4"/>
        <v/>
      </c>
      <c r="W778" s="39" t="str">
        <f>IFERROR(__xludf.DUMMYFUNCTION(" IF(Account!$F778&lt;&gt;"""", SPLIT(Account!$F778, "" ""), """")"),"")</f>
        <v/>
      </c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</row>
    <row r="779">
      <c r="A779" s="12"/>
      <c r="B779" s="12"/>
      <c r="C779" s="12"/>
      <c r="D779" s="12"/>
      <c r="E779" s="12"/>
      <c r="F779" s="13"/>
      <c r="G779" s="12"/>
      <c r="H779" s="12"/>
      <c r="I779" s="12"/>
      <c r="J779" s="12"/>
      <c r="K779" s="12"/>
      <c r="L779" s="13"/>
      <c r="M779" s="30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2" t="str">
        <f>IFERROR(__xludf.DUMMYFUNCTION("IF(Account!$F779&lt;&gt;"""", VALUE(REGEXREPLACE($I779, ""\,"", ""."")), """")"),"")</f>
        <v/>
      </c>
      <c r="O779" s="33" t="str">
        <f>IF(Account!$F779&lt;&gt;"", DATEVALUE(MID($A779,4,3) &amp; LEFT($A779,3) &amp; RIGHT($A779,4)) + TIMEVALUE($B779), "")</f>
        <v/>
      </c>
      <c r="P779" s="34" t="str">
        <f>IF(Account!$F779&lt;&gt;"", DATEVALUE(MID($C779,4,3) &amp; LEFT($C779,3) &amp; RIGHT($C779,4)), "")</f>
        <v/>
      </c>
      <c r="Q779" s="35" t="str">
        <f t="array" ref="Q779">IF($R779&lt;&gt;"",IFERROR(INDEX(ISIN!$B:$B,MATCH($R779,ISIN!$C:$C,0))),)</f>
        <v/>
      </c>
      <c r="R779" s="36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5" t="str">
        <f t="shared" si="1"/>
        <v/>
      </c>
      <c r="T779" s="37" t="str">
        <f t="shared" si="2"/>
        <v/>
      </c>
      <c r="U779" s="38" t="str">
        <f t="shared" si="3"/>
        <v/>
      </c>
      <c r="V779" s="32" t="str">
        <f t="shared" si="4"/>
        <v/>
      </c>
      <c r="W779" s="39" t="str">
        <f>IFERROR(__xludf.DUMMYFUNCTION(" IF(Account!$F779&lt;&gt;"""", SPLIT(Account!$F779, "" ""), """")"),"")</f>
        <v/>
      </c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</row>
    <row r="780">
      <c r="A780" s="12"/>
      <c r="B780" s="12"/>
      <c r="C780" s="12"/>
      <c r="D780" s="12"/>
      <c r="E780" s="12"/>
      <c r="F780" s="13"/>
      <c r="G780" s="291"/>
      <c r="H780" s="12"/>
      <c r="I780" s="12"/>
      <c r="J780" s="12"/>
      <c r="K780" s="12"/>
      <c r="L780" s="13"/>
      <c r="M780" s="30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2" t="str">
        <f>IFERROR(__xludf.DUMMYFUNCTION("IF(Account!$F780&lt;&gt;"""", VALUE(REGEXREPLACE($I780, ""\,"", ""."")), """")"),"")</f>
        <v/>
      </c>
      <c r="O780" s="33" t="str">
        <f>IF(Account!$F780&lt;&gt;"", DATEVALUE(MID($A780,4,3) &amp; LEFT($A780,3) &amp; RIGHT($A780,4)) + TIMEVALUE($B780), "")</f>
        <v/>
      </c>
      <c r="P780" s="34" t="str">
        <f>IF(Account!$F780&lt;&gt;"", DATEVALUE(MID($C780,4,3) &amp; LEFT($C780,3) &amp; RIGHT($C780,4)), "")</f>
        <v/>
      </c>
      <c r="Q780" s="35" t="str">
        <f t="array" ref="Q780">IF($R780&lt;&gt;"",IFERROR(INDEX(ISIN!$B:$B,MATCH($R780,ISIN!$C:$C,0))),)</f>
        <v/>
      </c>
      <c r="R780" s="36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5" t="str">
        <f t="shared" si="1"/>
        <v/>
      </c>
      <c r="T780" s="37" t="str">
        <f t="shared" si="2"/>
        <v/>
      </c>
      <c r="U780" s="38" t="str">
        <f t="shared" si="3"/>
        <v/>
      </c>
      <c r="V780" s="32" t="str">
        <f t="shared" si="4"/>
        <v/>
      </c>
      <c r="W780" s="39" t="str">
        <f>IFERROR(__xludf.DUMMYFUNCTION(" IF(Account!$F780&lt;&gt;"""", SPLIT(Account!$F780, "" ""), """")"),"")</f>
        <v/>
      </c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</row>
    <row r="781">
      <c r="A781" s="12"/>
      <c r="B781" s="12"/>
      <c r="C781" s="12"/>
      <c r="D781" s="12"/>
      <c r="E781" s="12"/>
      <c r="F781" s="13"/>
      <c r="G781" s="291"/>
      <c r="H781" s="12"/>
      <c r="I781" s="12"/>
      <c r="J781" s="12"/>
      <c r="K781" s="12"/>
      <c r="L781" s="13"/>
      <c r="M781" s="30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2" t="str">
        <f>IFERROR(__xludf.DUMMYFUNCTION("IF(Account!$F781&lt;&gt;"""", VALUE(REGEXREPLACE($I781, ""\,"", ""."")), """")"),"")</f>
        <v/>
      </c>
      <c r="O781" s="33" t="str">
        <f>IF(Account!$F781&lt;&gt;"", DATEVALUE(MID($A781,4,3) &amp; LEFT($A781,3) &amp; RIGHT($A781,4)) + TIMEVALUE($B781), "")</f>
        <v/>
      </c>
      <c r="P781" s="34" t="str">
        <f>IF(Account!$F781&lt;&gt;"", DATEVALUE(MID($C781,4,3) &amp; LEFT($C781,3) &amp; RIGHT($C781,4)), "")</f>
        <v/>
      </c>
      <c r="Q781" s="35" t="str">
        <f t="array" ref="Q781">IF($R781&lt;&gt;"",IFERROR(INDEX(ISIN!$B:$B,MATCH($R781,ISIN!$C:$C,0))),)</f>
        <v/>
      </c>
      <c r="R781" s="36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5" t="str">
        <f t="shared" si="1"/>
        <v/>
      </c>
      <c r="T781" s="37" t="str">
        <f t="shared" si="2"/>
        <v/>
      </c>
      <c r="U781" s="38" t="str">
        <f t="shared" si="3"/>
        <v/>
      </c>
      <c r="V781" s="32" t="str">
        <f t="shared" si="4"/>
        <v/>
      </c>
      <c r="W781" s="39" t="str">
        <f>IFERROR(__xludf.DUMMYFUNCTION(" IF(Account!$F781&lt;&gt;"""", SPLIT(Account!$F781, "" ""), """")"),"")</f>
        <v/>
      </c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</row>
    <row r="782">
      <c r="A782" s="12"/>
      <c r="B782" s="12"/>
      <c r="C782" s="12"/>
      <c r="D782" s="12"/>
      <c r="E782" s="12"/>
      <c r="F782" s="13"/>
      <c r="G782" s="291"/>
      <c r="H782" s="12"/>
      <c r="I782" s="12"/>
      <c r="J782" s="12"/>
      <c r="K782" s="12"/>
      <c r="L782" s="13"/>
      <c r="M782" s="30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2" t="str">
        <f>IFERROR(__xludf.DUMMYFUNCTION("IF(Account!$F782&lt;&gt;"""", VALUE(REGEXREPLACE($I782, ""\,"", ""."")), """")"),"")</f>
        <v/>
      </c>
      <c r="O782" s="33" t="str">
        <f>IF(Account!$F782&lt;&gt;"", DATEVALUE(MID($A782,4,3) &amp; LEFT($A782,3) &amp; RIGHT($A782,4)) + TIMEVALUE($B782), "")</f>
        <v/>
      </c>
      <c r="P782" s="34" t="str">
        <f>IF(Account!$F782&lt;&gt;"", DATEVALUE(MID($C782,4,3) &amp; LEFT($C782,3) &amp; RIGHT($C782,4)), "")</f>
        <v/>
      </c>
      <c r="Q782" s="35" t="str">
        <f t="array" ref="Q782">IF($R782&lt;&gt;"",IFERROR(INDEX(ISIN!$B:$B,MATCH($R782,ISIN!$C:$C,0))),)</f>
        <v/>
      </c>
      <c r="R782" s="36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5" t="str">
        <f t="shared" si="1"/>
        <v/>
      </c>
      <c r="T782" s="37" t="str">
        <f t="shared" si="2"/>
        <v/>
      </c>
      <c r="U782" s="38" t="str">
        <f t="shared" si="3"/>
        <v/>
      </c>
      <c r="V782" s="32" t="str">
        <f t="shared" si="4"/>
        <v/>
      </c>
      <c r="W782" s="39" t="str">
        <f>IFERROR(__xludf.DUMMYFUNCTION(" IF(Account!$F782&lt;&gt;"""", SPLIT(Account!$F782, "" ""), """")"),"")</f>
        <v/>
      </c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</row>
    <row r="783">
      <c r="A783" s="12"/>
      <c r="B783" s="12"/>
      <c r="C783" s="12"/>
      <c r="D783" s="12"/>
      <c r="E783" s="12"/>
      <c r="F783" s="13"/>
      <c r="G783" s="291"/>
      <c r="H783" s="12"/>
      <c r="I783" s="12"/>
      <c r="J783" s="12"/>
      <c r="K783" s="12"/>
      <c r="L783" s="13"/>
      <c r="M783" s="30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2" t="str">
        <f>IFERROR(__xludf.DUMMYFUNCTION("IF(Account!$F783&lt;&gt;"""", VALUE(REGEXREPLACE($I783, ""\,"", ""."")), """")"),"")</f>
        <v/>
      </c>
      <c r="O783" s="33" t="str">
        <f>IF(Account!$F783&lt;&gt;"", DATEVALUE(MID($A783,4,3) &amp; LEFT($A783,3) &amp; RIGHT($A783,4)) + TIMEVALUE($B783), "")</f>
        <v/>
      </c>
      <c r="P783" s="34" t="str">
        <f>IF(Account!$F783&lt;&gt;"", DATEVALUE(MID($C783,4,3) &amp; LEFT($C783,3) &amp; RIGHT($C783,4)), "")</f>
        <v/>
      </c>
      <c r="Q783" s="35" t="str">
        <f t="array" ref="Q783">IF($R783&lt;&gt;"",IFERROR(INDEX(ISIN!$B:$B,MATCH($R783,ISIN!$C:$C,0))),)</f>
        <v/>
      </c>
      <c r="R783" s="36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5" t="str">
        <f t="shared" si="1"/>
        <v/>
      </c>
      <c r="T783" s="37" t="str">
        <f t="shared" si="2"/>
        <v/>
      </c>
      <c r="U783" s="38" t="str">
        <f t="shared" si="3"/>
        <v/>
      </c>
      <c r="V783" s="32" t="str">
        <f t="shared" si="4"/>
        <v/>
      </c>
      <c r="W783" s="39" t="str">
        <f>IFERROR(__xludf.DUMMYFUNCTION(" IF(Account!$F783&lt;&gt;"""", SPLIT(Account!$F783, "" ""), """")"),"")</f>
        <v/>
      </c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</row>
    <row r="784">
      <c r="A784" s="12"/>
      <c r="B784" s="12"/>
      <c r="C784" s="12"/>
      <c r="D784" s="12"/>
      <c r="E784" s="12"/>
      <c r="F784" s="13"/>
      <c r="G784" s="12"/>
      <c r="H784" s="12"/>
      <c r="I784" s="12"/>
      <c r="J784" s="12"/>
      <c r="K784" s="12"/>
      <c r="L784" s="13"/>
      <c r="M784" s="30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2" t="str">
        <f>IFERROR(__xludf.DUMMYFUNCTION("IF(Account!$F784&lt;&gt;"""", VALUE(REGEXREPLACE($I784, ""\,"", ""."")), """")"),"")</f>
        <v/>
      </c>
      <c r="O784" s="33" t="str">
        <f>IF(Account!$F784&lt;&gt;"", DATEVALUE(MID($A784,4,3) &amp; LEFT($A784,3) &amp; RIGHT($A784,4)) + TIMEVALUE($B784), "")</f>
        <v/>
      </c>
      <c r="P784" s="34" t="str">
        <f>IF(Account!$F784&lt;&gt;"", DATEVALUE(MID($C784,4,3) &amp; LEFT($C784,3) &amp; RIGHT($C784,4)), "")</f>
        <v/>
      </c>
      <c r="Q784" s="35" t="str">
        <f t="array" ref="Q784">IF($R784&lt;&gt;"",IFERROR(INDEX(ISIN!$B:$B,MATCH($R784,ISIN!$C:$C,0))),)</f>
        <v/>
      </c>
      <c r="R784" s="36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5" t="str">
        <f t="shared" si="1"/>
        <v/>
      </c>
      <c r="T784" s="37" t="str">
        <f t="shared" si="2"/>
        <v/>
      </c>
      <c r="U784" s="38" t="str">
        <f t="shared" si="3"/>
        <v/>
      </c>
      <c r="V784" s="32" t="str">
        <f t="shared" si="4"/>
        <v/>
      </c>
      <c r="W784" s="39" t="str">
        <f>IFERROR(__xludf.DUMMYFUNCTION(" IF(Account!$F784&lt;&gt;"""", SPLIT(Account!$F784, "" ""), """")"),"")</f>
        <v/>
      </c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</row>
    <row r="785">
      <c r="A785" s="12"/>
      <c r="B785" s="12"/>
      <c r="C785" s="12"/>
      <c r="D785" s="12"/>
      <c r="E785" s="12"/>
      <c r="F785" s="13"/>
      <c r="G785" s="291"/>
      <c r="H785" s="12"/>
      <c r="I785" s="12"/>
      <c r="J785" s="12"/>
      <c r="K785" s="12"/>
      <c r="L785" s="13"/>
      <c r="M785" s="30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2" t="str">
        <f>IFERROR(__xludf.DUMMYFUNCTION("IF(Account!$F785&lt;&gt;"""", VALUE(REGEXREPLACE($I785, ""\,"", ""."")), """")"),"")</f>
        <v/>
      </c>
      <c r="O785" s="33" t="str">
        <f>IF(Account!$F785&lt;&gt;"", DATEVALUE(MID($A785,4,3) &amp; LEFT($A785,3) &amp; RIGHT($A785,4)) + TIMEVALUE($B785), "")</f>
        <v/>
      </c>
      <c r="P785" s="34" t="str">
        <f>IF(Account!$F785&lt;&gt;"", DATEVALUE(MID($C785,4,3) &amp; LEFT($C785,3) &amp; RIGHT($C785,4)), "")</f>
        <v/>
      </c>
      <c r="Q785" s="35" t="str">
        <f t="array" ref="Q785">IF($R785&lt;&gt;"",IFERROR(INDEX(ISIN!$B:$B,MATCH($R785,ISIN!$C:$C,0))),)</f>
        <v/>
      </c>
      <c r="R785" s="36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5" t="str">
        <f t="shared" si="1"/>
        <v/>
      </c>
      <c r="T785" s="37" t="str">
        <f t="shared" si="2"/>
        <v/>
      </c>
      <c r="U785" s="38" t="str">
        <f t="shared" si="3"/>
        <v/>
      </c>
      <c r="V785" s="32" t="str">
        <f t="shared" si="4"/>
        <v/>
      </c>
      <c r="W785" s="39" t="str">
        <f>IFERROR(__xludf.DUMMYFUNCTION(" IF(Account!$F785&lt;&gt;"""", SPLIT(Account!$F785, "" ""), """")"),"")</f>
        <v/>
      </c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</row>
    <row r="786">
      <c r="A786" s="12"/>
      <c r="B786" s="12"/>
      <c r="C786" s="12"/>
      <c r="D786" s="12"/>
      <c r="E786" s="12"/>
      <c r="F786" s="13"/>
      <c r="G786" s="12"/>
      <c r="H786" s="12"/>
      <c r="I786" s="12"/>
      <c r="J786" s="12"/>
      <c r="K786" s="12"/>
      <c r="L786" s="13"/>
      <c r="M786" s="30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2" t="str">
        <f>IFERROR(__xludf.DUMMYFUNCTION("IF(Account!$F786&lt;&gt;"""", VALUE(REGEXREPLACE($I786, ""\,"", ""."")), """")"),"")</f>
        <v/>
      </c>
      <c r="O786" s="33" t="str">
        <f>IF(Account!$F786&lt;&gt;"", DATEVALUE(MID($A786,4,3) &amp; LEFT($A786,3) &amp; RIGHT($A786,4)) + TIMEVALUE($B786), "")</f>
        <v/>
      </c>
      <c r="P786" s="34" t="str">
        <f>IF(Account!$F786&lt;&gt;"", DATEVALUE(MID($C786,4,3) &amp; LEFT($C786,3) &amp; RIGHT($C786,4)), "")</f>
        <v/>
      </c>
      <c r="Q786" s="35" t="str">
        <f t="array" ref="Q786">IF($R786&lt;&gt;"",IFERROR(INDEX(ISIN!$B:$B,MATCH($R786,ISIN!$C:$C,0))),)</f>
        <v/>
      </c>
      <c r="R786" s="36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5" t="str">
        <f t="shared" si="1"/>
        <v/>
      </c>
      <c r="T786" s="37" t="str">
        <f t="shared" si="2"/>
        <v/>
      </c>
      <c r="U786" s="38" t="str">
        <f t="shared" si="3"/>
        <v/>
      </c>
      <c r="V786" s="32" t="str">
        <f t="shared" si="4"/>
        <v/>
      </c>
      <c r="W786" s="39" t="str">
        <f>IFERROR(__xludf.DUMMYFUNCTION(" IF(Account!$F786&lt;&gt;"""", SPLIT(Account!$F786, "" ""), """")"),"")</f>
        <v/>
      </c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</row>
    <row r="787">
      <c r="A787" s="12"/>
      <c r="B787" s="12"/>
      <c r="C787" s="12"/>
      <c r="D787" s="12"/>
      <c r="E787" s="12"/>
      <c r="F787" s="13"/>
      <c r="G787" s="291"/>
      <c r="H787" s="12"/>
      <c r="I787" s="12"/>
      <c r="J787" s="12"/>
      <c r="K787" s="12"/>
      <c r="L787" s="13"/>
      <c r="M787" s="30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2" t="str">
        <f>IFERROR(__xludf.DUMMYFUNCTION("IF(Account!$F787&lt;&gt;"""", VALUE(REGEXREPLACE($I787, ""\,"", ""."")), """")"),"")</f>
        <v/>
      </c>
      <c r="O787" s="33" t="str">
        <f>IF(Account!$F787&lt;&gt;"", DATEVALUE(MID($A787,4,3) &amp; LEFT($A787,3) &amp; RIGHT($A787,4)) + TIMEVALUE($B787), "")</f>
        <v/>
      </c>
      <c r="P787" s="34" t="str">
        <f>IF(Account!$F787&lt;&gt;"", DATEVALUE(MID($C787,4,3) &amp; LEFT($C787,3) &amp; RIGHT($C787,4)), "")</f>
        <v/>
      </c>
      <c r="Q787" s="35" t="str">
        <f t="array" ref="Q787">IF($R787&lt;&gt;"",IFERROR(INDEX(ISIN!$B:$B,MATCH($R787,ISIN!$C:$C,0))),)</f>
        <v/>
      </c>
      <c r="R787" s="36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5" t="str">
        <f t="shared" si="1"/>
        <v/>
      </c>
      <c r="T787" s="37" t="str">
        <f t="shared" si="2"/>
        <v/>
      </c>
      <c r="U787" s="38" t="str">
        <f t="shared" si="3"/>
        <v/>
      </c>
      <c r="V787" s="32" t="str">
        <f t="shared" si="4"/>
        <v/>
      </c>
      <c r="W787" s="39" t="str">
        <f>IFERROR(__xludf.DUMMYFUNCTION(" IF(Account!$F787&lt;&gt;"""", SPLIT(Account!$F787, "" ""), """")"),"")</f>
        <v/>
      </c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</row>
    <row r="788">
      <c r="A788" s="12"/>
      <c r="B788" s="12"/>
      <c r="C788" s="12"/>
      <c r="D788" s="12"/>
      <c r="E788" s="12"/>
      <c r="F788" s="13"/>
      <c r="G788" s="12"/>
      <c r="H788" s="12"/>
      <c r="I788" s="12"/>
      <c r="J788" s="12"/>
      <c r="K788" s="12"/>
      <c r="L788" s="13"/>
      <c r="M788" s="30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2" t="str">
        <f>IFERROR(__xludf.DUMMYFUNCTION("IF(Account!$F788&lt;&gt;"""", VALUE(REGEXREPLACE($I788, ""\,"", ""."")), """")"),"")</f>
        <v/>
      </c>
      <c r="O788" s="33" t="str">
        <f>IF(Account!$F788&lt;&gt;"", DATEVALUE(MID($A788,4,3) &amp; LEFT($A788,3) &amp; RIGHT($A788,4)) + TIMEVALUE($B788), "")</f>
        <v/>
      </c>
      <c r="P788" s="34" t="str">
        <f>IF(Account!$F788&lt;&gt;"", DATEVALUE(MID($C788,4,3) &amp; LEFT($C788,3) &amp; RIGHT($C788,4)), "")</f>
        <v/>
      </c>
      <c r="Q788" s="35" t="str">
        <f t="array" ref="Q788">IF($R788&lt;&gt;"",IFERROR(INDEX(ISIN!$B:$B,MATCH($R788,ISIN!$C:$C,0))),)</f>
        <v/>
      </c>
      <c r="R788" s="36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5" t="str">
        <f t="shared" si="1"/>
        <v/>
      </c>
      <c r="T788" s="37" t="str">
        <f t="shared" si="2"/>
        <v/>
      </c>
      <c r="U788" s="38" t="str">
        <f t="shared" si="3"/>
        <v/>
      </c>
      <c r="V788" s="32" t="str">
        <f t="shared" si="4"/>
        <v/>
      </c>
      <c r="W788" s="39" t="str">
        <f>IFERROR(__xludf.DUMMYFUNCTION(" IF(Account!$F788&lt;&gt;"""", SPLIT(Account!$F788, "" ""), """")"),"")</f>
        <v/>
      </c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</row>
    <row r="789">
      <c r="A789" s="12"/>
      <c r="B789" s="12"/>
      <c r="C789" s="12"/>
      <c r="D789" s="12"/>
      <c r="E789" s="12"/>
      <c r="F789" s="13"/>
      <c r="G789" s="291"/>
      <c r="H789" s="12"/>
      <c r="I789" s="12"/>
      <c r="J789" s="12"/>
      <c r="K789" s="12"/>
      <c r="L789" s="13"/>
      <c r="M789" s="30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2" t="str">
        <f>IFERROR(__xludf.DUMMYFUNCTION("IF(Account!$F789&lt;&gt;"""", VALUE(REGEXREPLACE($I789, ""\,"", ""."")), """")"),"")</f>
        <v/>
      </c>
      <c r="O789" s="33" t="str">
        <f>IF(Account!$F789&lt;&gt;"", DATEVALUE(MID($A789,4,3) &amp; LEFT($A789,3) &amp; RIGHT($A789,4)) + TIMEVALUE($B789), "")</f>
        <v/>
      </c>
      <c r="P789" s="34" t="str">
        <f>IF(Account!$F789&lt;&gt;"", DATEVALUE(MID($C789,4,3) &amp; LEFT($C789,3) &amp; RIGHT($C789,4)), "")</f>
        <v/>
      </c>
      <c r="Q789" s="35" t="str">
        <f t="array" ref="Q789">IF($R789&lt;&gt;"",IFERROR(INDEX(ISIN!$B:$B,MATCH($R789,ISIN!$C:$C,0))),)</f>
        <v/>
      </c>
      <c r="R789" s="36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5" t="str">
        <f t="shared" si="1"/>
        <v/>
      </c>
      <c r="T789" s="37" t="str">
        <f t="shared" si="2"/>
        <v/>
      </c>
      <c r="U789" s="38" t="str">
        <f t="shared" si="3"/>
        <v/>
      </c>
      <c r="V789" s="32" t="str">
        <f t="shared" si="4"/>
        <v/>
      </c>
      <c r="W789" s="39" t="str">
        <f>IFERROR(__xludf.DUMMYFUNCTION(" IF(Account!$F789&lt;&gt;"""", SPLIT(Account!$F789, "" ""), """")"),"")</f>
        <v/>
      </c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</row>
    <row r="790">
      <c r="A790" s="12"/>
      <c r="B790" s="12"/>
      <c r="C790" s="12"/>
      <c r="D790" s="12"/>
      <c r="E790" s="12"/>
      <c r="F790" s="13"/>
      <c r="G790" s="12"/>
      <c r="H790" s="12"/>
      <c r="I790" s="12"/>
      <c r="J790" s="12"/>
      <c r="K790" s="12"/>
      <c r="L790" s="13"/>
      <c r="M790" s="30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2" t="str">
        <f>IFERROR(__xludf.DUMMYFUNCTION("IF(Account!$F790&lt;&gt;"""", VALUE(REGEXREPLACE($I790, ""\,"", ""."")), """")"),"")</f>
        <v/>
      </c>
      <c r="O790" s="33" t="str">
        <f>IF(Account!$F790&lt;&gt;"", DATEVALUE(MID($A790,4,3) &amp; LEFT($A790,3) &amp; RIGHT($A790,4)) + TIMEVALUE($B790), "")</f>
        <v/>
      </c>
      <c r="P790" s="34" t="str">
        <f>IF(Account!$F790&lt;&gt;"", DATEVALUE(MID($C790,4,3) &amp; LEFT($C790,3) &amp; RIGHT($C790,4)), "")</f>
        <v/>
      </c>
      <c r="Q790" s="35" t="str">
        <f t="array" ref="Q790">IF($R790&lt;&gt;"",IFERROR(INDEX(ISIN!$B:$B,MATCH($R790,ISIN!$C:$C,0))),)</f>
        <v/>
      </c>
      <c r="R790" s="36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5" t="str">
        <f t="shared" si="1"/>
        <v/>
      </c>
      <c r="T790" s="37" t="str">
        <f t="shared" si="2"/>
        <v/>
      </c>
      <c r="U790" s="38" t="str">
        <f t="shared" si="3"/>
        <v/>
      </c>
      <c r="V790" s="32" t="str">
        <f t="shared" si="4"/>
        <v/>
      </c>
      <c r="W790" s="39" t="str">
        <f>IFERROR(__xludf.DUMMYFUNCTION(" IF(Account!$F790&lt;&gt;"""", SPLIT(Account!$F790, "" ""), """")"),"")</f>
        <v/>
      </c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</row>
    <row r="791">
      <c r="A791" s="12"/>
      <c r="B791" s="12"/>
      <c r="C791" s="12"/>
      <c r="D791" s="12"/>
      <c r="E791" s="12"/>
      <c r="F791" s="13"/>
      <c r="G791" s="291"/>
      <c r="H791" s="12"/>
      <c r="I791" s="12"/>
      <c r="J791" s="12"/>
      <c r="K791" s="12"/>
      <c r="L791" s="13"/>
      <c r="M791" s="30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2" t="str">
        <f>IFERROR(__xludf.DUMMYFUNCTION("IF(Account!$F791&lt;&gt;"""", VALUE(REGEXREPLACE($I791, ""\,"", ""."")), """")"),"")</f>
        <v/>
      </c>
      <c r="O791" s="33" t="str">
        <f>IF(Account!$F791&lt;&gt;"", DATEVALUE(MID($A791,4,3) &amp; LEFT($A791,3) &amp; RIGHT($A791,4)) + TIMEVALUE($B791), "")</f>
        <v/>
      </c>
      <c r="P791" s="34" t="str">
        <f>IF(Account!$F791&lt;&gt;"", DATEVALUE(MID($C791,4,3) &amp; LEFT($C791,3) &amp; RIGHT($C791,4)), "")</f>
        <v/>
      </c>
      <c r="Q791" s="35" t="str">
        <f t="array" ref="Q791">IF($R791&lt;&gt;"",IFERROR(INDEX(ISIN!$B:$B,MATCH($R791,ISIN!$C:$C,0))),)</f>
        <v/>
      </c>
      <c r="R791" s="36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5" t="str">
        <f t="shared" si="1"/>
        <v/>
      </c>
      <c r="T791" s="37" t="str">
        <f t="shared" si="2"/>
        <v/>
      </c>
      <c r="U791" s="38" t="str">
        <f t="shared" si="3"/>
        <v/>
      </c>
      <c r="V791" s="32" t="str">
        <f t="shared" si="4"/>
        <v/>
      </c>
      <c r="W791" s="39" t="str">
        <f>IFERROR(__xludf.DUMMYFUNCTION(" IF(Account!$F791&lt;&gt;"""", SPLIT(Account!$F791, "" ""), """")"),"")</f>
        <v/>
      </c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</row>
    <row r="792">
      <c r="A792" s="12"/>
      <c r="B792" s="12"/>
      <c r="C792" s="12"/>
      <c r="D792" s="12"/>
      <c r="E792" s="12"/>
      <c r="F792" s="13"/>
      <c r="G792" s="291"/>
      <c r="H792" s="12"/>
      <c r="I792" s="12"/>
      <c r="J792" s="12"/>
      <c r="K792" s="12"/>
      <c r="L792" s="13"/>
      <c r="M792" s="30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2" t="str">
        <f>IFERROR(__xludf.DUMMYFUNCTION("IF(Account!$F792&lt;&gt;"""", VALUE(REGEXREPLACE($I792, ""\,"", ""."")), """")"),"")</f>
        <v/>
      </c>
      <c r="O792" s="33" t="str">
        <f>IF(Account!$F792&lt;&gt;"", DATEVALUE(MID($A792,4,3) &amp; LEFT($A792,3) &amp; RIGHT($A792,4)) + TIMEVALUE($B792), "")</f>
        <v/>
      </c>
      <c r="P792" s="34" t="str">
        <f>IF(Account!$F792&lt;&gt;"", DATEVALUE(MID($C792,4,3) &amp; LEFT($C792,3) &amp; RIGHT($C792,4)), "")</f>
        <v/>
      </c>
      <c r="Q792" s="35" t="str">
        <f t="array" ref="Q792">IF($R792&lt;&gt;"",IFERROR(INDEX(ISIN!$B:$B,MATCH($R792,ISIN!$C:$C,0))),)</f>
        <v/>
      </c>
      <c r="R792" s="36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5" t="str">
        <f t="shared" si="1"/>
        <v/>
      </c>
      <c r="T792" s="37" t="str">
        <f t="shared" si="2"/>
        <v/>
      </c>
      <c r="U792" s="38" t="str">
        <f t="shared" si="3"/>
        <v/>
      </c>
      <c r="V792" s="32" t="str">
        <f t="shared" si="4"/>
        <v/>
      </c>
      <c r="W792" s="39" t="str">
        <f>IFERROR(__xludf.DUMMYFUNCTION(" IF(Account!$F792&lt;&gt;"""", SPLIT(Account!$F792, "" ""), """")"),"")</f>
        <v/>
      </c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</row>
    <row r="793">
      <c r="A793" s="12"/>
      <c r="B793" s="12"/>
      <c r="C793" s="12"/>
      <c r="D793" s="12"/>
      <c r="E793" s="12"/>
      <c r="F793" s="13"/>
      <c r="G793" s="291"/>
      <c r="H793" s="12"/>
      <c r="I793" s="12"/>
      <c r="J793" s="12"/>
      <c r="K793" s="12"/>
      <c r="L793" s="13"/>
      <c r="M793" s="30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2" t="str">
        <f>IFERROR(__xludf.DUMMYFUNCTION("IF(Account!$F793&lt;&gt;"""", VALUE(REGEXREPLACE($I793, ""\,"", ""."")), """")"),"")</f>
        <v/>
      </c>
      <c r="O793" s="33" t="str">
        <f>IF(Account!$F793&lt;&gt;"", DATEVALUE(MID($A793,4,3) &amp; LEFT($A793,3) &amp; RIGHT($A793,4)) + TIMEVALUE($B793), "")</f>
        <v/>
      </c>
      <c r="P793" s="34" t="str">
        <f>IF(Account!$F793&lt;&gt;"", DATEVALUE(MID($C793,4,3) &amp; LEFT($C793,3) &amp; RIGHT($C793,4)), "")</f>
        <v/>
      </c>
      <c r="Q793" s="35" t="str">
        <f t="array" ref="Q793">IF($R793&lt;&gt;"",IFERROR(INDEX(ISIN!$B:$B,MATCH($R793,ISIN!$C:$C,0))),)</f>
        <v/>
      </c>
      <c r="R793" s="36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5" t="str">
        <f t="shared" si="1"/>
        <v/>
      </c>
      <c r="T793" s="37" t="str">
        <f t="shared" si="2"/>
        <v/>
      </c>
      <c r="U793" s="38" t="str">
        <f t="shared" si="3"/>
        <v/>
      </c>
      <c r="V793" s="32" t="str">
        <f t="shared" si="4"/>
        <v/>
      </c>
      <c r="W793" s="39" t="str">
        <f>IFERROR(__xludf.DUMMYFUNCTION(" IF(Account!$F793&lt;&gt;"""", SPLIT(Account!$F793, "" ""), """")"),"")</f>
        <v/>
      </c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</row>
    <row r="794">
      <c r="A794" s="12"/>
      <c r="B794" s="12"/>
      <c r="C794" s="12"/>
      <c r="D794" s="12"/>
      <c r="E794" s="12"/>
      <c r="F794" s="13"/>
      <c r="G794" s="291"/>
      <c r="H794" s="12"/>
      <c r="I794" s="12"/>
      <c r="J794" s="12"/>
      <c r="K794" s="12"/>
      <c r="L794" s="13"/>
      <c r="M794" s="30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2" t="str">
        <f>IFERROR(__xludf.DUMMYFUNCTION("IF(Account!$F794&lt;&gt;"""", VALUE(REGEXREPLACE($I794, ""\,"", ""."")), """")"),"")</f>
        <v/>
      </c>
      <c r="O794" s="33" t="str">
        <f>IF(Account!$F794&lt;&gt;"", DATEVALUE(MID($A794,4,3) &amp; LEFT($A794,3) &amp; RIGHT($A794,4)) + TIMEVALUE($B794), "")</f>
        <v/>
      </c>
      <c r="P794" s="34" t="str">
        <f>IF(Account!$F794&lt;&gt;"", DATEVALUE(MID($C794,4,3) &amp; LEFT($C794,3) &amp; RIGHT($C794,4)), "")</f>
        <v/>
      </c>
      <c r="Q794" s="35" t="str">
        <f t="array" ref="Q794">IF($R794&lt;&gt;"",IFERROR(INDEX(ISIN!$B:$B,MATCH($R794,ISIN!$C:$C,0))),)</f>
        <v/>
      </c>
      <c r="R794" s="36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5" t="str">
        <f t="shared" si="1"/>
        <v/>
      </c>
      <c r="T794" s="37" t="str">
        <f t="shared" si="2"/>
        <v/>
      </c>
      <c r="U794" s="38" t="str">
        <f t="shared" si="3"/>
        <v/>
      </c>
      <c r="V794" s="32" t="str">
        <f t="shared" si="4"/>
        <v/>
      </c>
      <c r="W794" s="39" t="str">
        <f>IFERROR(__xludf.DUMMYFUNCTION(" IF(Account!$F794&lt;&gt;"""", SPLIT(Account!$F794, "" ""), """")"),"")</f>
        <v/>
      </c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</row>
    <row r="795">
      <c r="A795" s="12"/>
      <c r="B795" s="12"/>
      <c r="C795" s="12"/>
      <c r="D795" s="12"/>
      <c r="E795" s="12"/>
      <c r="F795" s="13"/>
      <c r="G795" s="291"/>
      <c r="H795" s="12"/>
      <c r="I795" s="12"/>
      <c r="J795" s="12"/>
      <c r="K795" s="12"/>
      <c r="L795" s="13"/>
      <c r="M795" s="30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2" t="str">
        <f>IFERROR(__xludf.DUMMYFUNCTION("IF(Account!$F795&lt;&gt;"""", VALUE(REGEXREPLACE($I795, ""\,"", ""."")), """")"),"")</f>
        <v/>
      </c>
      <c r="O795" s="33" t="str">
        <f>IF(Account!$F795&lt;&gt;"", DATEVALUE(MID($A795,4,3) &amp; LEFT($A795,3) &amp; RIGHT($A795,4)) + TIMEVALUE($B795), "")</f>
        <v/>
      </c>
      <c r="P795" s="34" t="str">
        <f>IF(Account!$F795&lt;&gt;"", DATEVALUE(MID($C795,4,3) &amp; LEFT($C795,3) &amp; RIGHT($C795,4)), "")</f>
        <v/>
      </c>
      <c r="Q795" s="35" t="str">
        <f t="array" ref="Q795">IF($R795&lt;&gt;"",IFERROR(INDEX(ISIN!$B:$B,MATCH($R795,ISIN!$C:$C,0))),)</f>
        <v/>
      </c>
      <c r="R795" s="36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5" t="str">
        <f t="shared" si="1"/>
        <v/>
      </c>
      <c r="T795" s="37" t="str">
        <f t="shared" si="2"/>
        <v/>
      </c>
      <c r="U795" s="38" t="str">
        <f t="shared" si="3"/>
        <v/>
      </c>
      <c r="V795" s="32" t="str">
        <f t="shared" si="4"/>
        <v/>
      </c>
      <c r="W795" s="39" t="str">
        <f>IFERROR(__xludf.DUMMYFUNCTION(" IF(Account!$F795&lt;&gt;"""", SPLIT(Account!$F795, "" ""), """")"),"")</f>
        <v/>
      </c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</row>
    <row r="796">
      <c r="A796" s="12"/>
      <c r="B796" s="12"/>
      <c r="C796" s="12"/>
      <c r="D796" s="12"/>
      <c r="E796" s="12"/>
      <c r="F796" s="13"/>
      <c r="G796" s="12"/>
      <c r="H796" s="12"/>
      <c r="I796" s="12"/>
      <c r="J796" s="12"/>
      <c r="K796" s="12"/>
      <c r="L796" s="13"/>
      <c r="M796" s="30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2" t="str">
        <f>IFERROR(__xludf.DUMMYFUNCTION("IF(Account!$F796&lt;&gt;"""", VALUE(REGEXREPLACE($I796, ""\,"", ""."")), """")"),"")</f>
        <v/>
      </c>
      <c r="O796" s="33" t="str">
        <f>IF(Account!$F796&lt;&gt;"", DATEVALUE(MID($A796,4,3) &amp; LEFT($A796,3) &amp; RIGHT($A796,4)) + TIMEVALUE($B796), "")</f>
        <v/>
      </c>
      <c r="P796" s="34" t="str">
        <f>IF(Account!$F796&lt;&gt;"", DATEVALUE(MID($C796,4,3) &amp; LEFT($C796,3) &amp; RIGHT($C796,4)), "")</f>
        <v/>
      </c>
      <c r="Q796" s="35" t="str">
        <f t="array" ref="Q796">IF($R796&lt;&gt;"",IFERROR(INDEX(ISIN!$B:$B,MATCH($R796,ISIN!$C:$C,0))),)</f>
        <v/>
      </c>
      <c r="R796" s="36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5" t="str">
        <f t="shared" si="1"/>
        <v/>
      </c>
      <c r="T796" s="37" t="str">
        <f t="shared" si="2"/>
        <v/>
      </c>
      <c r="U796" s="38" t="str">
        <f t="shared" si="3"/>
        <v/>
      </c>
      <c r="V796" s="32" t="str">
        <f t="shared" si="4"/>
        <v/>
      </c>
      <c r="W796" s="39" t="str">
        <f>IFERROR(__xludf.DUMMYFUNCTION(" IF(Account!$F796&lt;&gt;"""", SPLIT(Account!$F796, "" ""), """")"),"")</f>
        <v/>
      </c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</row>
    <row r="797">
      <c r="A797" s="12"/>
      <c r="B797" s="12"/>
      <c r="C797" s="12"/>
      <c r="D797" s="12"/>
      <c r="E797" s="12"/>
      <c r="F797" s="13"/>
      <c r="G797" s="291"/>
      <c r="H797" s="12"/>
      <c r="I797" s="12"/>
      <c r="J797" s="12"/>
      <c r="K797" s="12"/>
      <c r="L797" s="13"/>
      <c r="M797" s="30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2" t="str">
        <f>IFERROR(__xludf.DUMMYFUNCTION("IF(Account!$F797&lt;&gt;"""", VALUE(REGEXREPLACE($I797, ""\,"", ""."")), """")"),"")</f>
        <v/>
      </c>
      <c r="O797" s="33" t="str">
        <f>IF(Account!$F797&lt;&gt;"", DATEVALUE(MID($A797,4,3) &amp; LEFT($A797,3) &amp; RIGHT($A797,4)) + TIMEVALUE($B797), "")</f>
        <v/>
      </c>
      <c r="P797" s="34" t="str">
        <f>IF(Account!$F797&lt;&gt;"", DATEVALUE(MID($C797,4,3) &amp; LEFT($C797,3) &amp; RIGHT($C797,4)), "")</f>
        <v/>
      </c>
      <c r="Q797" s="35" t="str">
        <f t="array" ref="Q797">IF($R797&lt;&gt;"",IFERROR(INDEX(ISIN!$B:$B,MATCH($R797,ISIN!$C:$C,0))),)</f>
        <v/>
      </c>
      <c r="R797" s="36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5" t="str">
        <f t="shared" si="1"/>
        <v/>
      </c>
      <c r="T797" s="37" t="str">
        <f t="shared" si="2"/>
        <v/>
      </c>
      <c r="U797" s="38" t="str">
        <f t="shared" si="3"/>
        <v/>
      </c>
      <c r="V797" s="32" t="str">
        <f t="shared" si="4"/>
        <v/>
      </c>
      <c r="W797" s="39" t="str">
        <f>IFERROR(__xludf.DUMMYFUNCTION(" IF(Account!$F797&lt;&gt;"""", SPLIT(Account!$F797, "" ""), """")"),"")</f>
        <v/>
      </c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</row>
    <row r="798">
      <c r="A798" s="12"/>
      <c r="B798" s="12"/>
      <c r="C798" s="12"/>
      <c r="D798" s="12"/>
      <c r="E798" s="12"/>
      <c r="F798" s="13"/>
      <c r="G798" s="12"/>
      <c r="H798" s="12"/>
      <c r="I798" s="12"/>
      <c r="J798" s="12"/>
      <c r="K798" s="12"/>
      <c r="L798" s="13"/>
      <c r="M798" s="30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2" t="str">
        <f>IFERROR(__xludf.DUMMYFUNCTION("IF(Account!$F798&lt;&gt;"""", VALUE(REGEXREPLACE($I798, ""\,"", ""."")), """")"),"")</f>
        <v/>
      </c>
      <c r="O798" s="33" t="str">
        <f>IF(Account!$F798&lt;&gt;"", DATEVALUE(MID($A798,4,3) &amp; LEFT($A798,3) &amp; RIGHT($A798,4)) + TIMEVALUE($B798), "")</f>
        <v/>
      </c>
      <c r="P798" s="34" t="str">
        <f>IF(Account!$F798&lt;&gt;"", DATEVALUE(MID($C798,4,3) &amp; LEFT($C798,3) &amp; RIGHT($C798,4)), "")</f>
        <v/>
      </c>
      <c r="Q798" s="35" t="str">
        <f t="array" ref="Q798">IF($R798&lt;&gt;"",IFERROR(INDEX(ISIN!$B:$B,MATCH($R798,ISIN!$C:$C,0))),)</f>
        <v/>
      </c>
      <c r="R798" s="36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5" t="str">
        <f t="shared" si="1"/>
        <v/>
      </c>
      <c r="T798" s="37" t="str">
        <f t="shared" si="2"/>
        <v/>
      </c>
      <c r="U798" s="38" t="str">
        <f t="shared" si="3"/>
        <v/>
      </c>
      <c r="V798" s="32" t="str">
        <f t="shared" si="4"/>
        <v/>
      </c>
      <c r="W798" s="39" t="str">
        <f>IFERROR(__xludf.DUMMYFUNCTION(" IF(Account!$F798&lt;&gt;"""", SPLIT(Account!$F798, "" ""), """")"),"")</f>
        <v/>
      </c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</row>
    <row r="799">
      <c r="A799" s="12"/>
      <c r="B799" s="12"/>
      <c r="C799" s="12"/>
      <c r="D799" s="12"/>
      <c r="E799" s="12"/>
      <c r="F799" s="13"/>
      <c r="G799" s="291"/>
      <c r="H799" s="12"/>
      <c r="I799" s="12"/>
      <c r="J799" s="12"/>
      <c r="K799" s="12"/>
      <c r="L799" s="13"/>
      <c r="M799" s="30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2" t="str">
        <f>IFERROR(__xludf.DUMMYFUNCTION("IF(Account!$F799&lt;&gt;"""", VALUE(REGEXREPLACE($I799, ""\,"", ""."")), """")"),"")</f>
        <v/>
      </c>
      <c r="O799" s="33" t="str">
        <f>IF(Account!$F799&lt;&gt;"", DATEVALUE(MID($A799,4,3) &amp; LEFT($A799,3) &amp; RIGHT($A799,4)) + TIMEVALUE($B799), "")</f>
        <v/>
      </c>
      <c r="P799" s="34" t="str">
        <f>IF(Account!$F799&lt;&gt;"", DATEVALUE(MID($C799,4,3) &amp; LEFT($C799,3) &amp; RIGHT($C799,4)), "")</f>
        <v/>
      </c>
      <c r="Q799" s="35" t="str">
        <f t="array" ref="Q799">IF($R799&lt;&gt;"",IFERROR(INDEX(ISIN!$B:$B,MATCH($R799,ISIN!$C:$C,0))),)</f>
        <v/>
      </c>
      <c r="R799" s="36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5" t="str">
        <f t="shared" si="1"/>
        <v/>
      </c>
      <c r="T799" s="37" t="str">
        <f t="shared" si="2"/>
        <v/>
      </c>
      <c r="U799" s="38" t="str">
        <f t="shared" si="3"/>
        <v/>
      </c>
      <c r="V799" s="32" t="str">
        <f t="shared" si="4"/>
        <v/>
      </c>
      <c r="W799" s="39" t="str">
        <f>IFERROR(__xludf.DUMMYFUNCTION(" IF(Account!$F799&lt;&gt;"""", SPLIT(Account!$F799, "" ""), """")"),"")</f>
        <v/>
      </c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</row>
    <row r="800">
      <c r="A800" s="12"/>
      <c r="B800" s="12"/>
      <c r="C800" s="12"/>
      <c r="D800" s="12"/>
      <c r="E800" s="12"/>
      <c r="F800" s="13"/>
      <c r="G800" s="291"/>
      <c r="H800" s="12"/>
      <c r="I800" s="12"/>
      <c r="J800" s="12"/>
      <c r="K800" s="12"/>
      <c r="L800" s="13"/>
      <c r="M800" s="30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2" t="str">
        <f>IFERROR(__xludf.DUMMYFUNCTION("IF(Account!$F800&lt;&gt;"""", VALUE(REGEXREPLACE($I800, ""\,"", ""."")), """")"),"")</f>
        <v/>
      </c>
      <c r="O800" s="33" t="str">
        <f>IF(Account!$F800&lt;&gt;"", DATEVALUE(MID($A800,4,3) &amp; LEFT($A800,3) &amp; RIGHT($A800,4)) + TIMEVALUE($B800), "")</f>
        <v/>
      </c>
      <c r="P800" s="34" t="str">
        <f>IF(Account!$F800&lt;&gt;"", DATEVALUE(MID($C800,4,3) &amp; LEFT($C800,3) &amp; RIGHT($C800,4)), "")</f>
        <v/>
      </c>
      <c r="Q800" s="35" t="str">
        <f t="array" ref="Q800">IF($R800&lt;&gt;"",IFERROR(INDEX(ISIN!$B:$B,MATCH($R800,ISIN!$C:$C,0))),)</f>
        <v/>
      </c>
      <c r="R800" s="36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5" t="str">
        <f t="shared" si="1"/>
        <v/>
      </c>
      <c r="T800" s="37" t="str">
        <f t="shared" si="2"/>
        <v/>
      </c>
      <c r="U800" s="38" t="str">
        <f t="shared" si="3"/>
        <v/>
      </c>
      <c r="V800" s="32" t="str">
        <f t="shared" si="4"/>
        <v/>
      </c>
      <c r="W800" s="39" t="str">
        <f>IFERROR(__xludf.DUMMYFUNCTION(" IF(Account!$F800&lt;&gt;"""", SPLIT(Account!$F800, "" ""), """")"),"")</f>
        <v/>
      </c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</row>
    <row r="801">
      <c r="A801" s="12"/>
      <c r="B801" s="12"/>
      <c r="C801" s="12"/>
      <c r="D801" s="12"/>
      <c r="E801" s="12"/>
      <c r="F801" s="13"/>
      <c r="G801" s="291"/>
      <c r="H801" s="12"/>
      <c r="I801" s="12"/>
      <c r="J801" s="12"/>
      <c r="K801" s="12"/>
      <c r="L801" s="13"/>
      <c r="M801" s="30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2" t="str">
        <f>IFERROR(__xludf.DUMMYFUNCTION("IF(Account!$F801&lt;&gt;"""", VALUE(REGEXREPLACE($I801, ""\,"", ""."")), """")"),"")</f>
        <v/>
      </c>
      <c r="O801" s="33" t="str">
        <f>IF(Account!$F801&lt;&gt;"", DATEVALUE(MID($A801,4,3) &amp; LEFT($A801,3) &amp; RIGHT($A801,4)) + TIMEVALUE($B801), "")</f>
        <v/>
      </c>
      <c r="P801" s="34" t="str">
        <f>IF(Account!$F801&lt;&gt;"", DATEVALUE(MID($C801,4,3) &amp; LEFT($C801,3) &amp; RIGHT($C801,4)), "")</f>
        <v/>
      </c>
      <c r="Q801" s="35" t="str">
        <f t="array" ref="Q801">IF($R801&lt;&gt;"",IFERROR(INDEX(ISIN!$B:$B,MATCH($R801,ISIN!$C:$C,0))),)</f>
        <v/>
      </c>
      <c r="R801" s="36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5" t="str">
        <f t="shared" si="1"/>
        <v/>
      </c>
      <c r="T801" s="37" t="str">
        <f t="shared" si="2"/>
        <v/>
      </c>
      <c r="U801" s="38" t="str">
        <f t="shared" si="3"/>
        <v/>
      </c>
      <c r="V801" s="32" t="str">
        <f t="shared" si="4"/>
        <v/>
      </c>
      <c r="W801" s="39" t="str">
        <f>IFERROR(__xludf.DUMMYFUNCTION(" IF(Account!$F801&lt;&gt;"""", SPLIT(Account!$F801, "" ""), """")"),"")</f>
        <v/>
      </c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</row>
    <row r="802">
      <c r="A802" s="12"/>
      <c r="B802" s="12"/>
      <c r="C802" s="12"/>
      <c r="D802" s="12"/>
      <c r="E802" s="12"/>
      <c r="F802" s="13"/>
      <c r="G802" s="291"/>
      <c r="H802" s="291"/>
      <c r="I802" s="291"/>
      <c r="J802" s="12"/>
      <c r="K802" s="12"/>
      <c r="L802" s="335"/>
      <c r="M802" s="30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2" t="str">
        <f>IFERROR(__xludf.DUMMYFUNCTION("IF(Account!$F802&lt;&gt;"""", VALUE(REGEXREPLACE($I802, ""\,"", ""."")), """")"),"")</f>
        <v/>
      </c>
      <c r="O802" s="33" t="str">
        <f>IF(Account!$F802&lt;&gt;"", DATEVALUE(MID($A802,4,3) &amp; LEFT($A802,3) &amp; RIGHT($A802,4)) + TIMEVALUE($B802), "")</f>
        <v/>
      </c>
      <c r="P802" s="34" t="str">
        <f>IF(Account!$F802&lt;&gt;"", DATEVALUE(MID($C802,4,3) &amp; LEFT($C802,3) &amp; RIGHT($C802,4)), "")</f>
        <v/>
      </c>
      <c r="Q802" s="35" t="str">
        <f t="array" ref="Q802">IF($R802&lt;&gt;"",IFERROR(INDEX(ISIN!$B:$B,MATCH($R802,ISIN!$C:$C,0))),)</f>
        <v/>
      </c>
      <c r="R802" s="36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5" t="str">
        <f t="shared" si="1"/>
        <v/>
      </c>
      <c r="T802" s="37" t="str">
        <f t="shared" si="2"/>
        <v/>
      </c>
      <c r="U802" s="38" t="str">
        <f t="shared" si="3"/>
        <v/>
      </c>
      <c r="V802" s="32" t="str">
        <f t="shared" si="4"/>
        <v/>
      </c>
      <c r="W802" s="39" t="str">
        <f>IFERROR(__xludf.DUMMYFUNCTION(" IF(Account!$F802&lt;&gt;"""", SPLIT(Account!$F802, "" ""), """")"),"")</f>
        <v/>
      </c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</row>
    <row r="803">
      <c r="A803" s="12"/>
      <c r="B803" s="12"/>
      <c r="C803" s="12"/>
      <c r="D803" s="12"/>
      <c r="E803" s="12"/>
      <c r="F803" s="13"/>
      <c r="G803" s="291"/>
      <c r="H803" s="12"/>
      <c r="I803" s="12"/>
      <c r="J803" s="12"/>
      <c r="K803" s="12"/>
      <c r="L803" s="13"/>
      <c r="M803" s="30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2" t="str">
        <f>IFERROR(__xludf.DUMMYFUNCTION("IF(Account!$F803&lt;&gt;"""", VALUE(REGEXREPLACE($I803, ""\,"", ""."")), """")"),"")</f>
        <v/>
      </c>
      <c r="O803" s="33" t="str">
        <f>IF(Account!$F803&lt;&gt;"", DATEVALUE(MID($A803,4,3) &amp; LEFT($A803,3) &amp; RIGHT($A803,4)) + TIMEVALUE($B803), "")</f>
        <v/>
      </c>
      <c r="P803" s="34" t="str">
        <f>IF(Account!$F803&lt;&gt;"", DATEVALUE(MID($C803,4,3) &amp; LEFT($C803,3) &amp; RIGHT($C803,4)), "")</f>
        <v/>
      </c>
      <c r="Q803" s="35" t="str">
        <f t="array" ref="Q803">IF($R803&lt;&gt;"",IFERROR(INDEX(ISIN!$B:$B,MATCH($R803,ISIN!$C:$C,0))),)</f>
        <v/>
      </c>
      <c r="R803" s="36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5" t="str">
        <f t="shared" si="1"/>
        <v/>
      </c>
      <c r="T803" s="37" t="str">
        <f t="shared" si="2"/>
        <v/>
      </c>
      <c r="U803" s="38" t="str">
        <f t="shared" si="3"/>
        <v/>
      </c>
      <c r="V803" s="32" t="str">
        <f t="shared" si="4"/>
        <v/>
      </c>
      <c r="W803" s="39" t="str">
        <f>IFERROR(__xludf.DUMMYFUNCTION(" IF(Account!$F803&lt;&gt;"""", SPLIT(Account!$F803, "" ""), """")"),"")</f>
        <v/>
      </c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</row>
    <row r="804">
      <c r="A804" s="12"/>
      <c r="B804" s="12"/>
      <c r="C804" s="12"/>
      <c r="D804" s="12"/>
      <c r="E804" s="12"/>
      <c r="F804" s="13"/>
      <c r="G804" s="291"/>
      <c r="H804" s="12"/>
      <c r="I804" s="12"/>
      <c r="J804" s="12"/>
      <c r="K804" s="12"/>
      <c r="L804" s="13"/>
      <c r="M804" s="30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2" t="str">
        <f>IFERROR(__xludf.DUMMYFUNCTION("IF(Account!$F804&lt;&gt;"""", VALUE(REGEXREPLACE($I804, ""\,"", ""."")), """")"),"")</f>
        <v/>
      </c>
      <c r="O804" s="33" t="str">
        <f>IF(Account!$F804&lt;&gt;"", DATEVALUE(MID($A804,4,3) &amp; LEFT($A804,3) &amp; RIGHT($A804,4)) + TIMEVALUE($B804), "")</f>
        <v/>
      </c>
      <c r="P804" s="34" t="str">
        <f>IF(Account!$F804&lt;&gt;"", DATEVALUE(MID($C804,4,3) &amp; LEFT($C804,3) &amp; RIGHT($C804,4)), "")</f>
        <v/>
      </c>
      <c r="Q804" s="35" t="str">
        <f t="array" ref="Q804">IF($R804&lt;&gt;"",IFERROR(INDEX(ISIN!$B:$B,MATCH($R804,ISIN!$C:$C,0))),)</f>
        <v/>
      </c>
      <c r="R804" s="36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5" t="str">
        <f t="shared" si="1"/>
        <v/>
      </c>
      <c r="T804" s="37" t="str">
        <f t="shared" si="2"/>
        <v/>
      </c>
      <c r="U804" s="38" t="str">
        <f t="shared" si="3"/>
        <v/>
      </c>
      <c r="V804" s="32" t="str">
        <f t="shared" si="4"/>
        <v/>
      </c>
      <c r="W804" s="39" t="str">
        <f>IFERROR(__xludf.DUMMYFUNCTION(" IF(Account!$F804&lt;&gt;"""", SPLIT(Account!$F804, "" ""), """")"),"")</f>
        <v/>
      </c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</row>
    <row r="805">
      <c r="A805" s="12"/>
      <c r="B805" s="12"/>
      <c r="C805" s="12"/>
      <c r="D805" s="12"/>
      <c r="E805" s="12"/>
      <c r="F805" s="13"/>
      <c r="G805" s="291"/>
      <c r="H805" s="12"/>
      <c r="I805" s="12"/>
      <c r="J805" s="12"/>
      <c r="K805" s="12"/>
      <c r="L805" s="13"/>
      <c r="M805" s="30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2" t="str">
        <f>IFERROR(__xludf.DUMMYFUNCTION("IF(Account!$F805&lt;&gt;"""", VALUE(REGEXREPLACE($I805, ""\,"", ""."")), """")"),"")</f>
        <v/>
      </c>
      <c r="O805" s="33" t="str">
        <f>IF(Account!$F805&lt;&gt;"", DATEVALUE(MID($A805,4,3) &amp; LEFT($A805,3) &amp; RIGHT($A805,4)) + TIMEVALUE($B805), "")</f>
        <v/>
      </c>
      <c r="P805" s="34" t="str">
        <f>IF(Account!$F805&lt;&gt;"", DATEVALUE(MID($C805,4,3) &amp; LEFT($C805,3) &amp; RIGHT($C805,4)), "")</f>
        <v/>
      </c>
      <c r="Q805" s="35" t="str">
        <f t="array" ref="Q805">IF($R805&lt;&gt;"",IFERROR(INDEX(ISIN!$B:$B,MATCH($R805,ISIN!$C:$C,0))),)</f>
        <v/>
      </c>
      <c r="R805" s="36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5" t="str">
        <f t="shared" si="1"/>
        <v/>
      </c>
      <c r="T805" s="37" t="str">
        <f t="shared" si="2"/>
        <v/>
      </c>
      <c r="U805" s="38" t="str">
        <f t="shared" si="3"/>
        <v/>
      </c>
      <c r="V805" s="32" t="str">
        <f t="shared" si="4"/>
        <v/>
      </c>
      <c r="W805" s="39" t="str">
        <f>IFERROR(__xludf.DUMMYFUNCTION(" IF(Account!$F805&lt;&gt;"""", SPLIT(Account!$F805, "" ""), """")"),"")</f>
        <v/>
      </c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</row>
    <row r="806">
      <c r="A806" s="291"/>
      <c r="B806" s="291"/>
      <c r="C806" s="291"/>
      <c r="D806" s="291"/>
      <c r="E806" s="291"/>
      <c r="F806" s="13"/>
      <c r="G806" s="291"/>
      <c r="H806" s="291"/>
      <c r="I806" s="291"/>
      <c r="J806" s="291"/>
      <c r="K806" s="291"/>
      <c r="L806" s="13"/>
      <c r="M806" s="30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2" t="str">
        <f>IFERROR(__xludf.DUMMYFUNCTION("IF(Account!$F806&lt;&gt;"""", VALUE(REGEXREPLACE($I806, ""\,"", ""."")), """")"),"")</f>
        <v/>
      </c>
      <c r="O806" s="33" t="str">
        <f>IF(Account!$F806&lt;&gt;"", DATEVALUE(MID($A806,4,3) &amp; LEFT($A806,3) &amp; RIGHT($A806,4)) + TIMEVALUE($B806), "")</f>
        <v/>
      </c>
      <c r="P806" s="34" t="str">
        <f>IF(Account!$F806&lt;&gt;"", DATEVALUE(MID($C806,4,3) &amp; LEFT($C806,3) &amp; RIGHT($C806,4)), "")</f>
        <v/>
      </c>
      <c r="Q806" s="35" t="str">
        <f t="array" ref="Q806">IF($R806&lt;&gt;"",IFERROR(INDEX(ISIN!$B:$B,MATCH($R806,ISIN!$C:$C,0))),)</f>
        <v/>
      </c>
      <c r="R806" s="36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5" t="str">
        <f t="shared" si="1"/>
        <v/>
      </c>
      <c r="T806" s="37" t="str">
        <f t="shared" si="2"/>
        <v/>
      </c>
      <c r="U806" s="38" t="str">
        <f t="shared" si="3"/>
        <v/>
      </c>
      <c r="V806" s="32" t="str">
        <f t="shared" si="4"/>
        <v/>
      </c>
      <c r="W806" s="39" t="str">
        <f>IFERROR(__xludf.DUMMYFUNCTION(" IF(Account!$F806&lt;&gt;"""", SPLIT(Account!$F806, "" ""), """")"),"")</f>
        <v/>
      </c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</row>
    <row r="807">
      <c r="A807" s="12"/>
      <c r="B807" s="12"/>
      <c r="C807" s="12"/>
      <c r="D807" s="12"/>
      <c r="E807" s="12"/>
      <c r="F807" s="13"/>
      <c r="G807" s="291"/>
      <c r="H807" s="12"/>
      <c r="I807" s="12"/>
      <c r="J807" s="12"/>
      <c r="K807" s="12"/>
      <c r="L807" s="13"/>
      <c r="M807" s="30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2" t="str">
        <f>IFERROR(__xludf.DUMMYFUNCTION("IF(Account!$F807&lt;&gt;"""", VALUE(REGEXREPLACE($I807, ""\,"", ""."")), """")"),"")</f>
        <v/>
      </c>
      <c r="O807" s="33" t="str">
        <f>IF(Account!$F807&lt;&gt;"", DATEVALUE(MID($A807,4,3) &amp; LEFT($A807,3) &amp; RIGHT($A807,4)) + TIMEVALUE($B807), "")</f>
        <v/>
      </c>
      <c r="P807" s="34" t="str">
        <f>IF(Account!$F807&lt;&gt;"", DATEVALUE(MID($C807,4,3) &amp; LEFT($C807,3) &amp; RIGHT($C807,4)), "")</f>
        <v/>
      </c>
      <c r="Q807" s="35" t="str">
        <f t="array" ref="Q807">IF($R807&lt;&gt;"",IFERROR(INDEX(ISIN!$B:$B,MATCH($R807,ISIN!$C:$C,0))),)</f>
        <v/>
      </c>
      <c r="R807" s="36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5" t="str">
        <f t="shared" si="1"/>
        <v/>
      </c>
      <c r="T807" s="37" t="str">
        <f t="shared" si="2"/>
        <v/>
      </c>
      <c r="U807" s="38" t="str">
        <f t="shared" si="3"/>
        <v/>
      </c>
      <c r="V807" s="32" t="str">
        <f t="shared" si="4"/>
        <v/>
      </c>
      <c r="W807" s="39" t="str">
        <f>IFERROR(__xludf.DUMMYFUNCTION(" IF(Account!$F807&lt;&gt;"""", SPLIT(Account!$F807, "" ""), """")"),"")</f>
        <v/>
      </c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</row>
    <row r="808">
      <c r="A808" s="12"/>
      <c r="B808" s="12"/>
      <c r="C808" s="12"/>
      <c r="D808" s="12"/>
      <c r="E808" s="12"/>
      <c r="F808" s="13"/>
      <c r="G808" s="291"/>
      <c r="H808" s="12"/>
      <c r="I808" s="12"/>
      <c r="J808" s="12"/>
      <c r="K808" s="12"/>
      <c r="L808" s="13"/>
      <c r="M808" s="30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2" t="str">
        <f>IFERROR(__xludf.DUMMYFUNCTION("IF(Account!$F808&lt;&gt;"""", VALUE(REGEXREPLACE($I808, ""\,"", ""."")), """")"),"")</f>
        <v/>
      </c>
      <c r="O808" s="33" t="str">
        <f>IF(Account!$F808&lt;&gt;"", DATEVALUE(MID($A808,4,3) &amp; LEFT($A808,3) &amp; RIGHT($A808,4)) + TIMEVALUE($B808), "")</f>
        <v/>
      </c>
      <c r="P808" s="34" t="str">
        <f>IF(Account!$F808&lt;&gt;"", DATEVALUE(MID($C808,4,3) &amp; LEFT($C808,3) &amp; RIGHT($C808,4)), "")</f>
        <v/>
      </c>
      <c r="Q808" s="35" t="str">
        <f t="array" ref="Q808">IF($R808&lt;&gt;"",IFERROR(INDEX(ISIN!$B:$B,MATCH($R808,ISIN!$C:$C,0))),)</f>
        <v/>
      </c>
      <c r="R808" s="36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5" t="str">
        <f t="shared" si="1"/>
        <v/>
      </c>
      <c r="T808" s="37" t="str">
        <f t="shared" si="2"/>
        <v/>
      </c>
      <c r="U808" s="38" t="str">
        <f t="shared" si="3"/>
        <v/>
      </c>
      <c r="V808" s="32" t="str">
        <f t="shared" si="4"/>
        <v/>
      </c>
      <c r="W808" s="39" t="str">
        <f>IFERROR(__xludf.DUMMYFUNCTION(" IF(Account!$F808&lt;&gt;"""", SPLIT(Account!$F808, "" ""), """")"),"")</f>
        <v/>
      </c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</row>
    <row r="809">
      <c r="A809" s="12"/>
      <c r="B809" s="12"/>
      <c r="C809" s="12"/>
      <c r="D809" s="12"/>
      <c r="E809" s="12"/>
      <c r="F809" s="13"/>
      <c r="G809" s="291"/>
      <c r="H809" s="12"/>
      <c r="I809" s="12"/>
      <c r="J809" s="12"/>
      <c r="K809" s="12"/>
      <c r="L809" s="13"/>
      <c r="M809" s="30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2" t="str">
        <f>IFERROR(__xludf.DUMMYFUNCTION("IF(Account!$F809&lt;&gt;"""", VALUE(REGEXREPLACE($I809, ""\,"", ""."")), """")"),"")</f>
        <v/>
      </c>
      <c r="O809" s="33" t="str">
        <f>IF(Account!$F809&lt;&gt;"", DATEVALUE(MID($A809,4,3) &amp; LEFT($A809,3) &amp; RIGHT($A809,4)) + TIMEVALUE($B809), "")</f>
        <v/>
      </c>
      <c r="P809" s="34" t="str">
        <f>IF(Account!$F809&lt;&gt;"", DATEVALUE(MID($C809,4,3) &amp; LEFT($C809,3) &amp; RIGHT($C809,4)), "")</f>
        <v/>
      </c>
      <c r="Q809" s="35" t="str">
        <f t="array" ref="Q809">IF($R809&lt;&gt;"",IFERROR(INDEX(ISIN!$B:$B,MATCH($R809,ISIN!$C:$C,0))),)</f>
        <v/>
      </c>
      <c r="R809" s="36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5" t="str">
        <f t="shared" si="1"/>
        <v/>
      </c>
      <c r="T809" s="37" t="str">
        <f t="shared" si="2"/>
        <v/>
      </c>
      <c r="U809" s="38" t="str">
        <f t="shared" si="3"/>
        <v/>
      </c>
      <c r="V809" s="32" t="str">
        <f t="shared" si="4"/>
        <v/>
      </c>
      <c r="W809" s="39" t="str">
        <f>IFERROR(__xludf.DUMMYFUNCTION(" IF(Account!$F809&lt;&gt;"""", SPLIT(Account!$F809, "" ""), """")"),"")</f>
        <v/>
      </c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</row>
    <row r="810">
      <c r="A810" s="12"/>
      <c r="B810" s="12"/>
      <c r="C810" s="12"/>
      <c r="D810" s="291"/>
      <c r="E810" s="291"/>
      <c r="F810" s="13"/>
      <c r="G810" s="291"/>
      <c r="H810" s="12"/>
      <c r="I810" s="12"/>
      <c r="J810" s="12"/>
      <c r="K810" s="12"/>
      <c r="L810" s="335"/>
      <c r="M810" s="30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2" t="str">
        <f>IFERROR(__xludf.DUMMYFUNCTION("IF(Account!$F810&lt;&gt;"""", VALUE(REGEXREPLACE($I810, ""\,"", ""."")), """")"),"")</f>
        <v/>
      </c>
      <c r="O810" s="33" t="str">
        <f>IF(Account!$F810&lt;&gt;"", DATEVALUE(MID($A810,4,3) &amp; LEFT($A810,3) &amp; RIGHT($A810,4)) + TIMEVALUE($B810), "")</f>
        <v/>
      </c>
      <c r="P810" s="34" t="str">
        <f>IF(Account!$F810&lt;&gt;"", DATEVALUE(MID($C810,4,3) &amp; LEFT($C810,3) &amp; RIGHT($C810,4)), "")</f>
        <v/>
      </c>
      <c r="Q810" s="35" t="str">
        <f t="array" ref="Q810">IF($R810&lt;&gt;"",IFERROR(INDEX(ISIN!$B:$B,MATCH($R810,ISIN!$C:$C,0))),)</f>
        <v/>
      </c>
      <c r="R810" s="36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5" t="str">
        <f t="shared" si="1"/>
        <v/>
      </c>
      <c r="T810" s="37" t="str">
        <f t="shared" si="2"/>
        <v/>
      </c>
      <c r="U810" s="38" t="str">
        <f t="shared" si="3"/>
        <v/>
      </c>
      <c r="V810" s="32" t="str">
        <f t="shared" si="4"/>
        <v/>
      </c>
      <c r="W810" s="39" t="str">
        <f>IFERROR(__xludf.DUMMYFUNCTION(" IF(Account!$F810&lt;&gt;"""", SPLIT(Account!$F810, "" ""), """")"),"")</f>
        <v/>
      </c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</row>
    <row r="811">
      <c r="A811" s="12"/>
      <c r="B811" s="12"/>
      <c r="C811" s="12"/>
      <c r="D811" s="291"/>
      <c r="E811" s="291"/>
      <c r="F811" s="13"/>
      <c r="G811" s="12"/>
      <c r="H811" s="12"/>
      <c r="I811" s="12"/>
      <c r="J811" s="12"/>
      <c r="K811" s="12"/>
      <c r="L811" s="335"/>
      <c r="M811" s="30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2" t="str">
        <f>IFERROR(__xludf.DUMMYFUNCTION("IF(Account!$F811&lt;&gt;"""", VALUE(REGEXREPLACE($I811, ""\,"", ""."")), """")"),"")</f>
        <v/>
      </c>
      <c r="O811" s="33" t="str">
        <f>IF(Account!$F811&lt;&gt;"", DATEVALUE(MID($A811,4,3) &amp; LEFT($A811,3) &amp; RIGHT($A811,4)) + TIMEVALUE($B811), "")</f>
        <v/>
      </c>
      <c r="P811" s="34" t="str">
        <f>IF(Account!$F811&lt;&gt;"", DATEVALUE(MID($C811,4,3) &amp; LEFT($C811,3) &amp; RIGHT($C811,4)), "")</f>
        <v/>
      </c>
      <c r="Q811" s="35" t="str">
        <f t="array" ref="Q811">IF($R811&lt;&gt;"",IFERROR(INDEX(ISIN!$B:$B,MATCH($R811,ISIN!$C:$C,0))),)</f>
        <v/>
      </c>
      <c r="R811" s="36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5" t="str">
        <f t="shared" si="1"/>
        <v/>
      </c>
      <c r="T811" s="37" t="str">
        <f t="shared" si="2"/>
        <v/>
      </c>
      <c r="U811" s="38" t="str">
        <f t="shared" si="3"/>
        <v/>
      </c>
      <c r="V811" s="32" t="str">
        <f t="shared" si="4"/>
        <v/>
      </c>
      <c r="W811" s="39" t="str">
        <f>IFERROR(__xludf.DUMMYFUNCTION(" IF(Account!$F811&lt;&gt;"""", SPLIT(Account!$F811, "" ""), """")"),"")</f>
        <v/>
      </c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</row>
    <row r="812">
      <c r="A812" s="12"/>
      <c r="B812" s="12"/>
      <c r="C812" s="12"/>
      <c r="D812" s="12"/>
      <c r="E812" s="12"/>
      <c r="F812" s="13"/>
      <c r="G812" s="291"/>
      <c r="H812" s="291"/>
      <c r="I812" s="291"/>
      <c r="J812" s="12"/>
      <c r="K812" s="12"/>
      <c r="L812" s="335"/>
      <c r="M812" s="30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2" t="str">
        <f>IFERROR(__xludf.DUMMYFUNCTION("IF(Account!$F812&lt;&gt;"""", VALUE(REGEXREPLACE($I812, ""\,"", ""."")), """")"),"")</f>
        <v/>
      </c>
      <c r="O812" s="33" t="str">
        <f>IF(Account!$F812&lt;&gt;"", DATEVALUE(MID($A812,4,3) &amp; LEFT($A812,3) &amp; RIGHT($A812,4)) + TIMEVALUE($B812), "")</f>
        <v/>
      </c>
      <c r="P812" s="34" t="str">
        <f>IF(Account!$F812&lt;&gt;"", DATEVALUE(MID($C812,4,3) &amp; LEFT($C812,3) &amp; RIGHT($C812,4)), "")</f>
        <v/>
      </c>
      <c r="Q812" s="35" t="str">
        <f t="array" ref="Q812">IF($R812&lt;&gt;"",IFERROR(INDEX(ISIN!$B:$B,MATCH($R812,ISIN!$C:$C,0))),)</f>
        <v/>
      </c>
      <c r="R812" s="36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5" t="str">
        <f t="shared" si="1"/>
        <v/>
      </c>
      <c r="T812" s="37" t="str">
        <f t="shared" si="2"/>
        <v/>
      </c>
      <c r="U812" s="38" t="str">
        <f t="shared" si="3"/>
        <v/>
      </c>
      <c r="V812" s="32" t="str">
        <f t="shared" si="4"/>
        <v/>
      </c>
      <c r="W812" s="39" t="str">
        <f>IFERROR(__xludf.DUMMYFUNCTION(" IF(Account!$F812&lt;&gt;"""", SPLIT(Account!$F812, "" ""), """")"),"")</f>
        <v/>
      </c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</row>
    <row r="813">
      <c r="A813" s="12"/>
      <c r="B813" s="12"/>
      <c r="C813" s="12"/>
      <c r="D813" s="12"/>
      <c r="E813" s="12"/>
      <c r="F813" s="13"/>
      <c r="G813" s="291"/>
      <c r="H813" s="12"/>
      <c r="I813" s="12"/>
      <c r="J813" s="12"/>
      <c r="K813" s="12"/>
      <c r="L813" s="335"/>
      <c r="M813" s="30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2" t="str">
        <f>IFERROR(__xludf.DUMMYFUNCTION("IF(Account!$F813&lt;&gt;"""", VALUE(REGEXREPLACE($I813, ""\,"", ""."")), """")"),"")</f>
        <v/>
      </c>
      <c r="O813" s="33" t="str">
        <f>IF(Account!$F813&lt;&gt;"", DATEVALUE(MID($A813,4,3) &amp; LEFT($A813,3) &amp; RIGHT($A813,4)) + TIMEVALUE($B813), "")</f>
        <v/>
      </c>
      <c r="P813" s="34" t="str">
        <f>IF(Account!$F813&lt;&gt;"", DATEVALUE(MID($C813,4,3) &amp; LEFT($C813,3) &amp; RIGHT($C813,4)), "")</f>
        <v/>
      </c>
      <c r="Q813" s="35" t="str">
        <f t="array" ref="Q813">IF($R813&lt;&gt;"",IFERROR(INDEX(ISIN!$B:$B,MATCH($R813,ISIN!$C:$C,0))),)</f>
        <v/>
      </c>
      <c r="R813" s="36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5" t="str">
        <f t="shared" si="1"/>
        <v/>
      </c>
      <c r="T813" s="37" t="str">
        <f t="shared" si="2"/>
        <v/>
      </c>
      <c r="U813" s="38" t="str">
        <f t="shared" si="3"/>
        <v/>
      </c>
      <c r="V813" s="32" t="str">
        <f t="shared" si="4"/>
        <v/>
      </c>
      <c r="W813" s="39" t="str">
        <f>IFERROR(__xludf.DUMMYFUNCTION(" IF(Account!$F813&lt;&gt;"""", SPLIT(Account!$F813, "" ""), """")"),"")</f>
        <v/>
      </c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</row>
    <row r="814">
      <c r="A814" s="12"/>
      <c r="B814" s="12"/>
      <c r="C814" s="12"/>
      <c r="D814" s="12"/>
      <c r="E814" s="12"/>
      <c r="F814" s="13"/>
      <c r="G814" s="291"/>
      <c r="H814" s="12"/>
      <c r="I814" s="12"/>
      <c r="J814" s="12"/>
      <c r="K814" s="12"/>
      <c r="L814" s="335"/>
      <c r="M814" s="30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2" t="str">
        <f>IFERROR(__xludf.DUMMYFUNCTION("IF(Account!$F814&lt;&gt;"""", VALUE(REGEXREPLACE($I814, ""\,"", ""."")), """")"),"")</f>
        <v/>
      </c>
      <c r="O814" s="33" t="str">
        <f>IF(Account!$F814&lt;&gt;"", DATEVALUE(MID($A814,4,3) &amp; LEFT($A814,3) &amp; RIGHT($A814,4)) + TIMEVALUE($B814), "")</f>
        <v/>
      </c>
      <c r="P814" s="34" t="str">
        <f>IF(Account!$F814&lt;&gt;"", DATEVALUE(MID($C814,4,3) &amp; LEFT($C814,3) &amp; RIGHT($C814,4)), "")</f>
        <v/>
      </c>
      <c r="Q814" s="35" t="str">
        <f t="array" ref="Q814">IF($R814&lt;&gt;"",IFERROR(INDEX(ISIN!$B:$B,MATCH($R814,ISIN!$C:$C,0))),)</f>
        <v/>
      </c>
      <c r="R814" s="36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5" t="str">
        <f t="shared" si="1"/>
        <v/>
      </c>
      <c r="T814" s="37" t="str">
        <f t="shared" si="2"/>
        <v/>
      </c>
      <c r="U814" s="38" t="str">
        <f t="shared" si="3"/>
        <v/>
      </c>
      <c r="V814" s="32" t="str">
        <f t="shared" si="4"/>
        <v/>
      </c>
      <c r="W814" s="39" t="str">
        <f>IFERROR(__xludf.DUMMYFUNCTION(" IF(Account!$F814&lt;&gt;"""", SPLIT(Account!$F814, "" ""), """")"),"")</f>
        <v/>
      </c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</row>
    <row r="815">
      <c r="A815" s="12"/>
      <c r="B815" s="12"/>
      <c r="C815" s="12"/>
      <c r="D815" s="291"/>
      <c r="E815" s="291"/>
      <c r="F815" s="13"/>
      <c r="G815" s="291"/>
      <c r="H815" s="12"/>
      <c r="I815" s="12"/>
      <c r="J815" s="12"/>
      <c r="K815" s="12"/>
      <c r="L815" s="335"/>
      <c r="M815" s="30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2" t="str">
        <f>IFERROR(__xludf.DUMMYFUNCTION("IF(Account!$F815&lt;&gt;"""", VALUE(REGEXREPLACE($I815, ""\,"", ""."")), """")"),"")</f>
        <v/>
      </c>
      <c r="O815" s="33" t="str">
        <f>IF(Account!$F815&lt;&gt;"", DATEVALUE(MID($A815,4,3) &amp; LEFT($A815,3) &amp; RIGHT($A815,4)) + TIMEVALUE($B815), "")</f>
        <v/>
      </c>
      <c r="P815" s="34" t="str">
        <f>IF(Account!$F815&lt;&gt;"", DATEVALUE(MID($C815,4,3) &amp; LEFT($C815,3) &amp; RIGHT($C815,4)), "")</f>
        <v/>
      </c>
      <c r="Q815" s="35" t="str">
        <f t="array" ref="Q815">IF($R815&lt;&gt;"",IFERROR(INDEX(ISIN!$B:$B,MATCH($R815,ISIN!$C:$C,0))),)</f>
        <v/>
      </c>
      <c r="R815" s="36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5" t="str">
        <f t="shared" si="1"/>
        <v/>
      </c>
      <c r="T815" s="37" t="str">
        <f t="shared" si="2"/>
        <v/>
      </c>
      <c r="U815" s="38" t="str">
        <f t="shared" si="3"/>
        <v/>
      </c>
      <c r="V815" s="32" t="str">
        <f t="shared" si="4"/>
        <v/>
      </c>
      <c r="W815" s="39" t="str">
        <f>IFERROR(__xludf.DUMMYFUNCTION(" IF(Account!$F815&lt;&gt;"""", SPLIT(Account!$F815, "" ""), """")"),"")</f>
        <v/>
      </c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</row>
    <row r="816">
      <c r="A816" s="12"/>
      <c r="B816" s="12"/>
      <c r="C816" s="12"/>
      <c r="D816" s="291"/>
      <c r="E816" s="291"/>
      <c r="F816" s="13"/>
      <c r="G816" s="291"/>
      <c r="H816" s="12"/>
      <c r="I816" s="12"/>
      <c r="J816" s="12"/>
      <c r="K816" s="12"/>
      <c r="L816" s="335"/>
      <c r="M816" s="30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2" t="str">
        <f>IFERROR(__xludf.DUMMYFUNCTION("IF(Account!$F816&lt;&gt;"""", VALUE(REGEXREPLACE($I816, ""\,"", ""."")), """")"),"")</f>
        <v/>
      </c>
      <c r="O816" s="33" t="str">
        <f>IF(Account!$F816&lt;&gt;"", DATEVALUE(MID($A816,4,3) &amp; LEFT($A816,3) &amp; RIGHT($A816,4)) + TIMEVALUE($B816), "")</f>
        <v/>
      </c>
      <c r="P816" s="34" t="str">
        <f>IF(Account!$F816&lt;&gt;"", DATEVALUE(MID($C816,4,3) &amp; LEFT($C816,3) &amp; RIGHT($C816,4)), "")</f>
        <v/>
      </c>
      <c r="Q816" s="35" t="str">
        <f t="array" ref="Q816">IF($R816&lt;&gt;"",IFERROR(INDEX(ISIN!$B:$B,MATCH($R816,ISIN!$C:$C,0))),)</f>
        <v/>
      </c>
      <c r="R816" s="36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5" t="str">
        <f t="shared" si="1"/>
        <v/>
      </c>
      <c r="T816" s="37" t="str">
        <f t="shared" si="2"/>
        <v/>
      </c>
      <c r="U816" s="38" t="str">
        <f t="shared" si="3"/>
        <v/>
      </c>
      <c r="V816" s="32" t="str">
        <f t="shared" si="4"/>
        <v/>
      </c>
      <c r="W816" s="39" t="str">
        <f>IFERROR(__xludf.DUMMYFUNCTION(" IF(Account!$F816&lt;&gt;"""", SPLIT(Account!$F816, "" ""), """")"),"")</f>
        <v/>
      </c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</row>
    <row r="817">
      <c r="A817" s="12"/>
      <c r="B817" s="12"/>
      <c r="C817" s="12"/>
      <c r="D817" s="12"/>
      <c r="E817" s="12"/>
      <c r="F817" s="13"/>
      <c r="G817" s="12"/>
      <c r="H817" s="12"/>
      <c r="I817" s="12"/>
      <c r="J817" s="12"/>
      <c r="K817" s="12"/>
      <c r="L817" s="13"/>
      <c r="M817" s="30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2" t="str">
        <f>IFERROR(__xludf.DUMMYFUNCTION("IF(Account!$F817&lt;&gt;"""", VALUE(REGEXREPLACE($I817, ""\,"", ""."")), """")"),"")</f>
        <v/>
      </c>
      <c r="O817" s="33" t="str">
        <f>IF(Account!$F817&lt;&gt;"", DATEVALUE(MID($A817,4,3) &amp; LEFT($A817,3) &amp; RIGHT($A817,4)) + TIMEVALUE($B817), "")</f>
        <v/>
      </c>
      <c r="P817" s="34" t="str">
        <f>IF(Account!$F817&lt;&gt;"", DATEVALUE(MID($C817,4,3) &amp; LEFT($C817,3) &amp; RIGHT($C817,4)), "")</f>
        <v/>
      </c>
      <c r="Q817" s="35" t="str">
        <f t="array" ref="Q817">IF($R817&lt;&gt;"",IFERROR(INDEX(ISIN!$B:$B,MATCH($R817,ISIN!$C:$C,0))),)</f>
        <v/>
      </c>
      <c r="R817" s="36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5" t="str">
        <f t="shared" si="1"/>
        <v/>
      </c>
      <c r="T817" s="37" t="str">
        <f t="shared" si="2"/>
        <v/>
      </c>
      <c r="U817" s="38" t="str">
        <f t="shared" si="3"/>
        <v/>
      </c>
      <c r="V817" s="32" t="str">
        <f t="shared" si="4"/>
        <v/>
      </c>
      <c r="W817" s="39" t="str">
        <f>IFERROR(__xludf.DUMMYFUNCTION(" IF(Account!$F817&lt;&gt;"""", SPLIT(Account!$F817, "" ""), """")"),"")</f>
        <v/>
      </c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</row>
    <row r="818">
      <c r="A818" s="12"/>
      <c r="B818" s="12"/>
      <c r="C818" s="12"/>
      <c r="D818" s="12"/>
      <c r="E818" s="12"/>
      <c r="F818" s="13"/>
      <c r="G818" s="291"/>
      <c r="H818" s="12"/>
      <c r="I818" s="12"/>
      <c r="J818" s="12"/>
      <c r="K818" s="12"/>
      <c r="L818" s="13"/>
      <c r="M818" s="30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2" t="str">
        <f>IFERROR(__xludf.DUMMYFUNCTION("IF(Account!$F818&lt;&gt;"""", VALUE(REGEXREPLACE($I818, ""\,"", ""."")), """")"),"")</f>
        <v/>
      </c>
      <c r="O818" s="33" t="str">
        <f>IF(Account!$F818&lt;&gt;"", DATEVALUE(MID($A818,4,3) &amp; LEFT($A818,3) &amp; RIGHT($A818,4)) + TIMEVALUE($B818), "")</f>
        <v/>
      </c>
      <c r="P818" s="34" t="str">
        <f>IF(Account!$F818&lt;&gt;"", DATEVALUE(MID($C818,4,3) &amp; LEFT($C818,3) &amp; RIGHT($C818,4)), "")</f>
        <v/>
      </c>
      <c r="Q818" s="35" t="str">
        <f t="array" ref="Q818">IF($R818&lt;&gt;"",IFERROR(INDEX(ISIN!$B:$B,MATCH($R818,ISIN!$C:$C,0))),)</f>
        <v/>
      </c>
      <c r="R818" s="36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5" t="str">
        <f t="shared" si="1"/>
        <v/>
      </c>
      <c r="T818" s="37" t="str">
        <f t="shared" si="2"/>
        <v/>
      </c>
      <c r="U818" s="38" t="str">
        <f t="shared" si="3"/>
        <v/>
      </c>
      <c r="V818" s="32" t="str">
        <f t="shared" si="4"/>
        <v/>
      </c>
      <c r="W818" s="39" t="str">
        <f>IFERROR(__xludf.DUMMYFUNCTION(" IF(Account!$F818&lt;&gt;"""", SPLIT(Account!$F818, "" ""), """")"),"")</f>
        <v/>
      </c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</row>
    <row r="819">
      <c r="A819" s="12"/>
      <c r="B819" s="12"/>
      <c r="C819" s="12"/>
      <c r="D819" s="12"/>
      <c r="E819" s="12"/>
      <c r="F819" s="13"/>
      <c r="G819" s="291"/>
      <c r="H819" s="12"/>
      <c r="I819" s="12"/>
      <c r="J819" s="12"/>
      <c r="K819" s="12"/>
      <c r="L819" s="13"/>
      <c r="M819" s="30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2" t="str">
        <f>IFERROR(__xludf.DUMMYFUNCTION("IF(Account!$F819&lt;&gt;"""", VALUE(REGEXREPLACE($I819, ""\,"", ""."")), """")"),"")</f>
        <v/>
      </c>
      <c r="O819" s="33" t="str">
        <f>IF(Account!$F819&lt;&gt;"", DATEVALUE(MID($A819,4,3) &amp; LEFT($A819,3) &amp; RIGHT($A819,4)) + TIMEVALUE($B819), "")</f>
        <v/>
      </c>
      <c r="P819" s="34" t="str">
        <f>IF(Account!$F819&lt;&gt;"", DATEVALUE(MID($C819,4,3) &amp; LEFT($C819,3) &amp; RIGHT($C819,4)), "")</f>
        <v/>
      </c>
      <c r="Q819" s="35" t="str">
        <f t="array" ref="Q819">IF($R819&lt;&gt;"",IFERROR(INDEX(ISIN!$B:$B,MATCH($R819,ISIN!$C:$C,0))),)</f>
        <v/>
      </c>
      <c r="R819" s="36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5" t="str">
        <f t="shared" si="1"/>
        <v/>
      </c>
      <c r="T819" s="37" t="str">
        <f t="shared" si="2"/>
        <v/>
      </c>
      <c r="U819" s="38" t="str">
        <f t="shared" si="3"/>
        <v/>
      </c>
      <c r="V819" s="32" t="str">
        <f t="shared" si="4"/>
        <v/>
      </c>
      <c r="W819" s="39" t="str">
        <f>IFERROR(__xludf.DUMMYFUNCTION(" IF(Account!$F819&lt;&gt;"""", SPLIT(Account!$F819, "" ""), """")"),"")</f>
        <v/>
      </c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</row>
    <row r="820">
      <c r="A820" s="12"/>
      <c r="B820" s="12"/>
      <c r="C820" s="12"/>
      <c r="D820" s="291"/>
      <c r="E820" s="291"/>
      <c r="F820" s="13"/>
      <c r="G820" s="291"/>
      <c r="H820" s="12"/>
      <c r="I820" s="12"/>
      <c r="J820" s="12"/>
      <c r="K820" s="12"/>
      <c r="L820" s="335"/>
      <c r="M820" s="30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2" t="str">
        <f>IFERROR(__xludf.DUMMYFUNCTION("IF(Account!$F820&lt;&gt;"""", VALUE(REGEXREPLACE($I820, ""\,"", ""."")), """")"),"")</f>
        <v/>
      </c>
      <c r="O820" s="33" t="str">
        <f>IF(Account!$F820&lt;&gt;"", DATEVALUE(MID($A820,4,3) &amp; LEFT($A820,3) &amp; RIGHT($A820,4)) + TIMEVALUE($B820), "")</f>
        <v/>
      </c>
      <c r="P820" s="34" t="str">
        <f>IF(Account!$F820&lt;&gt;"", DATEVALUE(MID($C820,4,3) &amp; LEFT($C820,3) &amp; RIGHT($C820,4)), "")</f>
        <v/>
      </c>
      <c r="Q820" s="35" t="str">
        <f t="array" ref="Q820">IF($R820&lt;&gt;"",IFERROR(INDEX(ISIN!$B:$B,MATCH($R820,ISIN!$C:$C,0))),)</f>
        <v/>
      </c>
      <c r="R820" s="36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5" t="str">
        <f t="shared" si="1"/>
        <v/>
      </c>
      <c r="T820" s="37" t="str">
        <f t="shared" si="2"/>
        <v/>
      </c>
      <c r="U820" s="38" t="str">
        <f t="shared" si="3"/>
        <v/>
      </c>
      <c r="V820" s="32" t="str">
        <f t="shared" si="4"/>
        <v/>
      </c>
      <c r="W820" s="39" t="str">
        <f>IFERROR(__xludf.DUMMYFUNCTION(" IF(Account!$F820&lt;&gt;"""", SPLIT(Account!$F820, "" ""), """")"),"")</f>
        <v/>
      </c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</row>
    <row r="821">
      <c r="A821" s="12"/>
      <c r="B821" s="12"/>
      <c r="C821" s="12"/>
      <c r="D821" s="12"/>
      <c r="E821" s="12"/>
      <c r="F821" s="13"/>
      <c r="G821" s="291"/>
      <c r="H821" s="291"/>
      <c r="I821" s="291"/>
      <c r="J821" s="12"/>
      <c r="K821" s="12"/>
      <c r="L821" s="335"/>
      <c r="M821" s="30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2" t="str">
        <f>IFERROR(__xludf.DUMMYFUNCTION("IF(Account!$F821&lt;&gt;"""", VALUE(REGEXREPLACE($I821, ""\,"", ""."")), """")"),"")</f>
        <v/>
      </c>
      <c r="O821" s="33" t="str">
        <f>IF(Account!$F821&lt;&gt;"", DATEVALUE(MID($A821,4,3) &amp; LEFT($A821,3) &amp; RIGHT($A821,4)) + TIMEVALUE($B821), "")</f>
        <v/>
      </c>
      <c r="P821" s="34" t="str">
        <f>IF(Account!$F821&lt;&gt;"", DATEVALUE(MID($C821,4,3) &amp; LEFT($C821,3) &amp; RIGHT($C821,4)), "")</f>
        <v/>
      </c>
      <c r="Q821" s="35" t="str">
        <f t="array" ref="Q821">IF($R821&lt;&gt;"",IFERROR(INDEX(ISIN!$B:$B,MATCH($R821,ISIN!$C:$C,0))),)</f>
        <v/>
      </c>
      <c r="R821" s="36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5" t="str">
        <f t="shared" si="1"/>
        <v/>
      </c>
      <c r="T821" s="37" t="str">
        <f t="shared" si="2"/>
        <v/>
      </c>
      <c r="U821" s="38" t="str">
        <f t="shared" si="3"/>
        <v/>
      </c>
      <c r="V821" s="32" t="str">
        <f t="shared" si="4"/>
        <v/>
      </c>
      <c r="W821" s="39" t="str">
        <f>IFERROR(__xludf.DUMMYFUNCTION(" IF(Account!$F821&lt;&gt;"""", SPLIT(Account!$F821, "" ""), """")"),"")</f>
        <v/>
      </c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</row>
    <row r="822">
      <c r="A822" s="12"/>
      <c r="B822" s="12"/>
      <c r="C822" s="12"/>
      <c r="D822" s="291"/>
      <c r="E822" s="291"/>
      <c r="F822" s="13"/>
      <c r="G822" s="291"/>
      <c r="H822" s="12"/>
      <c r="I822" s="12"/>
      <c r="J822" s="12"/>
      <c r="K822" s="12"/>
      <c r="L822" s="335"/>
      <c r="M822" s="30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2" t="str">
        <f>IFERROR(__xludf.DUMMYFUNCTION("IF(Account!$F822&lt;&gt;"""", VALUE(REGEXREPLACE($I822, ""\,"", ""."")), """")"),"")</f>
        <v/>
      </c>
      <c r="O822" s="33" t="str">
        <f>IF(Account!$F822&lt;&gt;"", DATEVALUE(MID($A822,4,3) &amp; LEFT($A822,3) &amp; RIGHT($A822,4)) + TIMEVALUE($B822), "")</f>
        <v/>
      </c>
      <c r="P822" s="34" t="str">
        <f>IF(Account!$F822&lt;&gt;"", DATEVALUE(MID($C822,4,3) &amp; LEFT($C822,3) &amp; RIGHT($C822,4)), "")</f>
        <v/>
      </c>
      <c r="Q822" s="35" t="str">
        <f t="array" ref="Q822">IF($R822&lt;&gt;"",IFERROR(INDEX(ISIN!$B:$B,MATCH($R822,ISIN!$C:$C,0))),)</f>
        <v/>
      </c>
      <c r="R822" s="36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5" t="str">
        <f t="shared" si="1"/>
        <v/>
      </c>
      <c r="T822" s="37" t="str">
        <f t="shared" si="2"/>
        <v/>
      </c>
      <c r="U822" s="38" t="str">
        <f t="shared" si="3"/>
        <v/>
      </c>
      <c r="V822" s="32" t="str">
        <f t="shared" si="4"/>
        <v/>
      </c>
      <c r="W822" s="39" t="str">
        <f>IFERROR(__xludf.DUMMYFUNCTION(" IF(Account!$F822&lt;&gt;"""", SPLIT(Account!$F822, "" ""), """")"),"")</f>
        <v/>
      </c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</row>
    <row r="823">
      <c r="A823" s="12"/>
      <c r="B823" s="12"/>
      <c r="C823" s="12"/>
      <c r="D823" s="291"/>
      <c r="E823" s="291"/>
      <c r="F823" s="13"/>
      <c r="G823" s="12"/>
      <c r="H823" s="12"/>
      <c r="I823" s="12"/>
      <c r="J823" s="12"/>
      <c r="K823" s="12"/>
      <c r="L823" s="335"/>
      <c r="M823" s="30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2" t="str">
        <f>IFERROR(__xludf.DUMMYFUNCTION("IF(Account!$F823&lt;&gt;"""", VALUE(REGEXREPLACE($I823, ""\,"", ""."")), """")"),"")</f>
        <v/>
      </c>
      <c r="O823" s="33" t="str">
        <f>IF(Account!$F823&lt;&gt;"", DATEVALUE(MID($A823,4,3) &amp; LEFT($A823,3) &amp; RIGHT($A823,4)) + TIMEVALUE($B823), "")</f>
        <v/>
      </c>
      <c r="P823" s="34" t="str">
        <f>IF(Account!$F823&lt;&gt;"", DATEVALUE(MID($C823,4,3) &amp; LEFT($C823,3) &amp; RIGHT($C823,4)), "")</f>
        <v/>
      </c>
      <c r="Q823" s="35" t="str">
        <f t="array" ref="Q823">IF($R823&lt;&gt;"",IFERROR(INDEX(ISIN!$B:$B,MATCH($R823,ISIN!$C:$C,0))),)</f>
        <v/>
      </c>
      <c r="R823" s="36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5" t="str">
        <f t="shared" si="1"/>
        <v/>
      </c>
      <c r="T823" s="37" t="str">
        <f t="shared" si="2"/>
        <v/>
      </c>
      <c r="U823" s="38" t="str">
        <f t="shared" si="3"/>
        <v/>
      </c>
      <c r="V823" s="32" t="str">
        <f t="shared" si="4"/>
        <v/>
      </c>
      <c r="W823" s="39" t="str">
        <f>IFERROR(__xludf.DUMMYFUNCTION(" IF(Account!$F823&lt;&gt;"""", SPLIT(Account!$F823, "" ""), """")"),"")</f>
        <v/>
      </c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</row>
    <row r="824">
      <c r="A824" s="12"/>
      <c r="B824" s="12"/>
      <c r="C824" s="12"/>
      <c r="D824" s="12"/>
      <c r="E824" s="12"/>
      <c r="F824" s="13"/>
      <c r="G824" s="12"/>
      <c r="H824" s="12"/>
      <c r="I824" s="12"/>
      <c r="J824" s="12"/>
      <c r="K824" s="12"/>
      <c r="L824" s="13"/>
      <c r="M824" s="30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2" t="str">
        <f>IFERROR(__xludf.DUMMYFUNCTION("IF(Account!$F824&lt;&gt;"""", VALUE(REGEXREPLACE($I824, ""\,"", ""."")), """")"),"")</f>
        <v/>
      </c>
      <c r="O824" s="33" t="str">
        <f>IF(Account!$F824&lt;&gt;"", DATEVALUE(MID($A824,4,3) &amp; LEFT($A824,3) &amp; RIGHT($A824,4)) + TIMEVALUE($B824), "")</f>
        <v/>
      </c>
      <c r="P824" s="34" t="str">
        <f>IF(Account!$F824&lt;&gt;"", DATEVALUE(MID($C824,4,3) &amp; LEFT($C824,3) &amp; RIGHT($C824,4)), "")</f>
        <v/>
      </c>
      <c r="Q824" s="35" t="str">
        <f t="array" ref="Q824">IF($R824&lt;&gt;"",IFERROR(INDEX(ISIN!$B:$B,MATCH($R824,ISIN!$C:$C,0))),)</f>
        <v/>
      </c>
      <c r="R824" s="36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5" t="str">
        <f t="shared" si="1"/>
        <v/>
      </c>
      <c r="T824" s="37" t="str">
        <f t="shared" si="2"/>
        <v/>
      </c>
      <c r="U824" s="38" t="str">
        <f t="shared" si="3"/>
        <v/>
      </c>
      <c r="V824" s="32" t="str">
        <f t="shared" si="4"/>
        <v/>
      </c>
      <c r="W824" s="39" t="str">
        <f>IFERROR(__xludf.DUMMYFUNCTION(" IF(Account!$F824&lt;&gt;"""", SPLIT(Account!$F824, "" ""), """")"),"")</f>
        <v/>
      </c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</row>
    <row r="825">
      <c r="A825" s="12"/>
      <c r="B825" s="12"/>
      <c r="C825" s="12"/>
      <c r="D825" s="12"/>
      <c r="E825" s="12"/>
      <c r="F825" s="13"/>
      <c r="G825" s="291"/>
      <c r="H825" s="12"/>
      <c r="I825" s="12"/>
      <c r="J825" s="12"/>
      <c r="K825" s="12"/>
      <c r="L825" s="13"/>
      <c r="M825" s="30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2" t="str">
        <f>IFERROR(__xludf.DUMMYFUNCTION("IF(Account!$F825&lt;&gt;"""", VALUE(REGEXREPLACE($I825, ""\,"", ""."")), """")"),"")</f>
        <v/>
      </c>
      <c r="O825" s="33" t="str">
        <f>IF(Account!$F825&lt;&gt;"", DATEVALUE(MID($A825,4,3) &amp; LEFT($A825,3) &amp; RIGHT($A825,4)) + TIMEVALUE($B825), "")</f>
        <v/>
      </c>
      <c r="P825" s="34" t="str">
        <f>IF(Account!$F825&lt;&gt;"", DATEVALUE(MID($C825,4,3) &amp; LEFT($C825,3) &amp; RIGHT($C825,4)), "")</f>
        <v/>
      </c>
      <c r="Q825" s="35" t="str">
        <f t="array" ref="Q825">IF($R825&lt;&gt;"",IFERROR(INDEX(ISIN!$B:$B,MATCH($R825,ISIN!$C:$C,0))),)</f>
        <v/>
      </c>
      <c r="R825" s="36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5" t="str">
        <f t="shared" si="1"/>
        <v/>
      </c>
      <c r="T825" s="37" t="str">
        <f t="shared" si="2"/>
        <v/>
      </c>
      <c r="U825" s="38" t="str">
        <f t="shared" si="3"/>
        <v/>
      </c>
      <c r="V825" s="32" t="str">
        <f t="shared" si="4"/>
        <v/>
      </c>
      <c r="W825" s="39" t="str">
        <f>IFERROR(__xludf.DUMMYFUNCTION(" IF(Account!$F825&lt;&gt;"""", SPLIT(Account!$F825, "" ""), """")"),"")</f>
        <v/>
      </c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</row>
    <row r="826">
      <c r="A826" s="12"/>
      <c r="B826" s="12"/>
      <c r="C826" s="12"/>
      <c r="D826" s="12"/>
      <c r="E826" s="12"/>
      <c r="F826" s="13"/>
      <c r="G826" s="291"/>
      <c r="H826" s="12"/>
      <c r="I826" s="12"/>
      <c r="J826" s="12"/>
      <c r="K826" s="12"/>
      <c r="L826" s="13"/>
      <c r="M826" s="30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2" t="str">
        <f>IFERROR(__xludf.DUMMYFUNCTION("IF(Account!$F826&lt;&gt;"""", VALUE(REGEXREPLACE($I826, ""\,"", ""."")), """")"),"")</f>
        <v/>
      </c>
      <c r="O826" s="33" t="str">
        <f>IF(Account!$F826&lt;&gt;"", DATEVALUE(MID($A826,4,3) &amp; LEFT($A826,3) &amp; RIGHT($A826,4)) + TIMEVALUE($B826), "")</f>
        <v/>
      </c>
      <c r="P826" s="34" t="str">
        <f>IF(Account!$F826&lt;&gt;"", DATEVALUE(MID($C826,4,3) &amp; LEFT($C826,3) &amp; RIGHT($C826,4)), "")</f>
        <v/>
      </c>
      <c r="Q826" s="35" t="str">
        <f t="array" ref="Q826">IF($R826&lt;&gt;"",IFERROR(INDEX(ISIN!$B:$B,MATCH($R826,ISIN!$C:$C,0))),)</f>
        <v/>
      </c>
      <c r="R826" s="36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5" t="str">
        <f t="shared" si="1"/>
        <v/>
      </c>
      <c r="T826" s="37" t="str">
        <f t="shared" si="2"/>
        <v/>
      </c>
      <c r="U826" s="38" t="str">
        <f t="shared" si="3"/>
        <v/>
      </c>
      <c r="V826" s="32" t="str">
        <f t="shared" si="4"/>
        <v/>
      </c>
      <c r="W826" s="39" t="str">
        <f>IFERROR(__xludf.DUMMYFUNCTION(" IF(Account!$F826&lt;&gt;"""", SPLIT(Account!$F826, "" ""), """")"),"")</f>
        <v/>
      </c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</row>
    <row r="827">
      <c r="A827" s="12"/>
      <c r="B827" s="12"/>
      <c r="C827" s="12"/>
      <c r="D827" s="12"/>
      <c r="E827" s="12"/>
      <c r="F827" s="13"/>
      <c r="G827" s="291"/>
      <c r="H827" s="12"/>
      <c r="I827" s="12"/>
      <c r="J827" s="12"/>
      <c r="K827" s="12"/>
      <c r="L827" s="13"/>
      <c r="M827" s="30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2" t="str">
        <f>IFERROR(__xludf.DUMMYFUNCTION("IF(Account!$F827&lt;&gt;"""", VALUE(REGEXREPLACE($I827, ""\,"", ""."")), """")"),"")</f>
        <v/>
      </c>
      <c r="O827" s="33" t="str">
        <f>IF(Account!$F827&lt;&gt;"", DATEVALUE(MID($A827,4,3) &amp; LEFT($A827,3) &amp; RIGHT($A827,4)) + TIMEVALUE($B827), "")</f>
        <v/>
      </c>
      <c r="P827" s="34" t="str">
        <f>IF(Account!$F827&lt;&gt;"", DATEVALUE(MID($C827,4,3) &amp; LEFT($C827,3) &amp; RIGHT($C827,4)), "")</f>
        <v/>
      </c>
      <c r="Q827" s="35" t="str">
        <f t="array" ref="Q827">IF($R827&lt;&gt;"",IFERROR(INDEX(ISIN!$B:$B,MATCH($R827,ISIN!$C:$C,0))),)</f>
        <v/>
      </c>
      <c r="R827" s="36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5" t="str">
        <f t="shared" si="1"/>
        <v/>
      </c>
      <c r="T827" s="37" t="str">
        <f t="shared" si="2"/>
        <v/>
      </c>
      <c r="U827" s="38" t="str">
        <f t="shared" si="3"/>
        <v/>
      </c>
      <c r="V827" s="32" t="str">
        <f t="shared" si="4"/>
        <v/>
      </c>
      <c r="W827" s="39" t="str">
        <f>IFERROR(__xludf.DUMMYFUNCTION(" IF(Account!$F827&lt;&gt;"""", SPLIT(Account!$F827, "" ""), """")"),"")</f>
        <v/>
      </c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</row>
    <row r="828">
      <c r="A828" s="12"/>
      <c r="B828" s="12"/>
      <c r="C828" s="12"/>
      <c r="D828" s="12"/>
      <c r="E828" s="12"/>
      <c r="F828" s="13"/>
      <c r="G828" s="291"/>
      <c r="H828" s="12"/>
      <c r="I828" s="12"/>
      <c r="J828" s="12"/>
      <c r="K828" s="12"/>
      <c r="L828" s="13"/>
      <c r="M828" s="30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2" t="str">
        <f>IFERROR(__xludf.DUMMYFUNCTION("IF(Account!$F828&lt;&gt;"""", VALUE(REGEXREPLACE($I828, ""\,"", ""."")), """")"),"")</f>
        <v/>
      </c>
      <c r="O828" s="33" t="str">
        <f>IF(Account!$F828&lt;&gt;"", DATEVALUE(MID($A828,4,3) &amp; LEFT($A828,3) &amp; RIGHT($A828,4)) + TIMEVALUE($B828), "")</f>
        <v/>
      </c>
      <c r="P828" s="34" t="str">
        <f>IF(Account!$F828&lt;&gt;"", DATEVALUE(MID($C828,4,3) &amp; LEFT($C828,3) &amp; RIGHT($C828,4)), "")</f>
        <v/>
      </c>
      <c r="Q828" s="35" t="str">
        <f t="array" ref="Q828">IF($R828&lt;&gt;"",IFERROR(INDEX(ISIN!$B:$B,MATCH($R828,ISIN!$C:$C,0))),)</f>
        <v/>
      </c>
      <c r="R828" s="36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5" t="str">
        <f t="shared" si="1"/>
        <v/>
      </c>
      <c r="T828" s="37" t="str">
        <f t="shared" si="2"/>
        <v/>
      </c>
      <c r="U828" s="38" t="str">
        <f t="shared" si="3"/>
        <v/>
      </c>
      <c r="V828" s="32" t="str">
        <f t="shared" si="4"/>
        <v/>
      </c>
      <c r="W828" s="39" t="str">
        <f>IFERROR(__xludf.DUMMYFUNCTION(" IF(Account!$F828&lt;&gt;"""", SPLIT(Account!$F828, "" ""), """")"),"")</f>
        <v/>
      </c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</row>
    <row r="829">
      <c r="A829" s="12"/>
      <c r="B829" s="12"/>
      <c r="C829" s="12"/>
      <c r="D829" s="12"/>
      <c r="E829" s="12"/>
      <c r="F829" s="13"/>
      <c r="G829" s="12"/>
      <c r="H829" s="12"/>
      <c r="I829" s="12"/>
      <c r="J829" s="12"/>
      <c r="K829" s="12"/>
      <c r="L829" s="13"/>
      <c r="M829" s="30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2" t="str">
        <f>IFERROR(__xludf.DUMMYFUNCTION("IF(Account!$F829&lt;&gt;"""", VALUE(REGEXREPLACE($I829, ""\,"", ""."")), """")"),"")</f>
        <v/>
      </c>
      <c r="O829" s="33" t="str">
        <f>IF(Account!$F829&lt;&gt;"", DATEVALUE(MID($A829,4,3) &amp; LEFT($A829,3) &amp; RIGHT($A829,4)) + TIMEVALUE($B829), "")</f>
        <v/>
      </c>
      <c r="P829" s="34" t="str">
        <f>IF(Account!$F829&lt;&gt;"", DATEVALUE(MID($C829,4,3) &amp; LEFT($C829,3) &amp; RIGHT($C829,4)), "")</f>
        <v/>
      </c>
      <c r="Q829" s="35" t="str">
        <f t="array" ref="Q829">IF($R829&lt;&gt;"",IFERROR(INDEX(ISIN!$B:$B,MATCH($R829,ISIN!$C:$C,0))),)</f>
        <v/>
      </c>
      <c r="R829" s="36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5" t="str">
        <f t="shared" si="1"/>
        <v/>
      </c>
      <c r="T829" s="37" t="str">
        <f t="shared" si="2"/>
        <v/>
      </c>
      <c r="U829" s="38" t="str">
        <f t="shared" si="3"/>
        <v/>
      </c>
      <c r="V829" s="32" t="str">
        <f t="shared" si="4"/>
        <v/>
      </c>
      <c r="W829" s="39" t="str">
        <f>IFERROR(__xludf.DUMMYFUNCTION(" IF(Account!$F829&lt;&gt;"""", SPLIT(Account!$F829, "" ""), """")"),"")</f>
        <v/>
      </c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</row>
    <row r="830">
      <c r="A830" s="12"/>
      <c r="B830" s="12"/>
      <c r="C830" s="12"/>
      <c r="D830" s="12"/>
      <c r="E830" s="12"/>
      <c r="F830" s="13"/>
      <c r="G830" s="291"/>
      <c r="H830" s="12"/>
      <c r="I830" s="12"/>
      <c r="J830" s="12"/>
      <c r="K830" s="12"/>
      <c r="L830" s="13"/>
      <c r="M830" s="30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2" t="str">
        <f>IFERROR(__xludf.DUMMYFUNCTION("IF(Account!$F830&lt;&gt;"""", VALUE(REGEXREPLACE($I830, ""\,"", ""."")), """")"),"")</f>
        <v/>
      </c>
      <c r="O830" s="33" t="str">
        <f>IF(Account!$F830&lt;&gt;"", DATEVALUE(MID($A830,4,3) &amp; LEFT($A830,3) &amp; RIGHT($A830,4)) + TIMEVALUE($B830), "")</f>
        <v/>
      </c>
      <c r="P830" s="34" t="str">
        <f>IF(Account!$F830&lt;&gt;"", DATEVALUE(MID($C830,4,3) &amp; LEFT($C830,3) &amp; RIGHT($C830,4)), "")</f>
        <v/>
      </c>
      <c r="Q830" s="35" t="str">
        <f t="array" ref="Q830">IF($R830&lt;&gt;"",IFERROR(INDEX(ISIN!$B:$B,MATCH($R830,ISIN!$C:$C,0))),)</f>
        <v/>
      </c>
      <c r="R830" s="36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5" t="str">
        <f t="shared" si="1"/>
        <v/>
      </c>
      <c r="T830" s="37" t="str">
        <f t="shared" si="2"/>
        <v/>
      </c>
      <c r="U830" s="38" t="str">
        <f t="shared" si="3"/>
        <v/>
      </c>
      <c r="V830" s="32" t="str">
        <f t="shared" si="4"/>
        <v/>
      </c>
      <c r="W830" s="39" t="str">
        <f>IFERROR(__xludf.DUMMYFUNCTION(" IF(Account!$F830&lt;&gt;"""", SPLIT(Account!$F830, "" ""), """")"),"")</f>
        <v/>
      </c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</row>
    <row r="831">
      <c r="A831" s="12"/>
      <c r="B831" s="12"/>
      <c r="C831" s="12"/>
      <c r="D831" s="12"/>
      <c r="E831" s="12"/>
      <c r="F831" s="13"/>
      <c r="G831" s="291"/>
      <c r="H831" s="12"/>
      <c r="I831" s="12"/>
      <c r="J831" s="12"/>
      <c r="K831" s="12"/>
      <c r="L831" s="13"/>
      <c r="M831" s="30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2" t="str">
        <f>IFERROR(__xludf.DUMMYFUNCTION("IF(Account!$F831&lt;&gt;"""", VALUE(REGEXREPLACE($I831, ""\,"", ""."")), """")"),"")</f>
        <v/>
      </c>
      <c r="O831" s="33" t="str">
        <f>IF(Account!$F831&lt;&gt;"", DATEVALUE(MID($A831,4,3) &amp; LEFT($A831,3) &amp; RIGHT($A831,4)) + TIMEVALUE($B831), "")</f>
        <v/>
      </c>
      <c r="P831" s="34" t="str">
        <f>IF(Account!$F831&lt;&gt;"", DATEVALUE(MID($C831,4,3) &amp; LEFT($C831,3) &amp; RIGHT($C831,4)), "")</f>
        <v/>
      </c>
      <c r="Q831" s="35" t="str">
        <f t="array" ref="Q831">IF($R831&lt;&gt;"",IFERROR(INDEX(ISIN!$B:$B,MATCH($R831,ISIN!$C:$C,0))),)</f>
        <v/>
      </c>
      <c r="R831" s="36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5" t="str">
        <f t="shared" si="1"/>
        <v/>
      </c>
      <c r="T831" s="37" t="str">
        <f t="shared" si="2"/>
        <v/>
      </c>
      <c r="U831" s="38" t="str">
        <f t="shared" si="3"/>
        <v/>
      </c>
      <c r="V831" s="32" t="str">
        <f t="shared" si="4"/>
        <v/>
      </c>
      <c r="W831" s="39" t="str">
        <f>IFERROR(__xludf.DUMMYFUNCTION(" IF(Account!$F831&lt;&gt;"""", SPLIT(Account!$F831, "" ""), """")"),"")</f>
        <v/>
      </c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</row>
    <row r="832">
      <c r="A832" s="12"/>
      <c r="B832" s="12"/>
      <c r="C832" s="12"/>
      <c r="D832" s="12"/>
      <c r="E832" s="12"/>
      <c r="F832" s="13"/>
      <c r="G832" s="12"/>
      <c r="H832" s="12"/>
      <c r="I832" s="12"/>
      <c r="J832" s="12"/>
      <c r="K832" s="12"/>
      <c r="L832" s="13"/>
      <c r="M832" s="30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2" t="str">
        <f>IFERROR(__xludf.DUMMYFUNCTION("IF(Account!$F832&lt;&gt;"""", VALUE(REGEXREPLACE($I832, ""\,"", ""."")), """")"),"")</f>
        <v/>
      </c>
      <c r="O832" s="33" t="str">
        <f>IF(Account!$F832&lt;&gt;"", DATEVALUE(MID($A832,4,3) &amp; LEFT($A832,3) &amp; RIGHT($A832,4)) + TIMEVALUE($B832), "")</f>
        <v/>
      </c>
      <c r="P832" s="34" t="str">
        <f>IF(Account!$F832&lt;&gt;"", DATEVALUE(MID($C832,4,3) &amp; LEFT($C832,3) &amp; RIGHT($C832,4)), "")</f>
        <v/>
      </c>
      <c r="Q832" s="35" t="str">
        <f t="array" ref="Q832">IF($R832&lt;&gt;"",IFERROR(INDEX(ISIN!$B:$B,MATCH($R832,ISIN!$C:$C,0))),)</f>
        <v/>
      </c>
      <c r="R832" s="36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5" t="str">
        <f t="shared" si="1"/>
        <v/>
      </c>
      <c r="T832" s="37" t="str">
        <f t="shared" si="2"/>
        <v/>
      </c>
      <c r="U832" s="38" t="str">
        <f t="shared" si="3"/>
        <v/>
      </c>
      <c r="V832" s="32" t="str">
        <f t="shared" si="4"/>
        <v/>
      </c>
      <c r="W832" s="39" t="str">
        <f>IFERROR(__xludf.DUMMYFUNCTION(" IF(Account!$F832&lt;&gt;"""", SPLIT(Account!$F832, "" ""), """")"),"")</f>
        <v/>
      </c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</row>
    <row r="833">
      <c r="A833" s="12"/>
      <c r="B833" s="12"/>
      <c r="C833" s="12"/>
      <c r="D833" s="12"/>
      <c r="E833" s="12"/>
      <c r="F833" s="13"/>
      <c r="G833" s="291"/>
      <c r="H833" s="12"/>
      <c r="I833" s="12"/>
      <c r="J833" s="12"/>
      <c r="K833" s="12"/>
      <c r="L833" s="13"/>
      <c r="M833" s="30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2" t="str">
        <f>IFERROR(__xludf.DUMMYFUNCTION("IF(Account!$F833&lt;&gt;"""", VALUE(REGEXREPLACE($I833, ""\,"", ""."")), """")"),"")</f>
        <v/>
      </c>
      <c r="O833" s="33" t="str">
        <f>IF(Account!$F833&lt;&gt;"", DATEVALUE(MID($A833,4,3) &amp; LEFT($A833,3) &amp; RIGHT($A833,4)) + TIMEVALUE($B833), "")</f>
        <v/>
      </c>
      <c r="P833" s="34" t="str">
        <f>IF(Account!$F833&lt;&gt;"", DATEVALUE(MID($C833,4,3) &amp; LEFT($C833,3) &amp; RIGHT($C833,4)), "")</f>
        <v/>
      </c>
      <c r="Q833" s="35" t="str">
        <f t="array" ref="Q833">IF($R833&lt;&gt;"",IFERROR(INDEX(ISIN!$B:$B,MATCH($R833,ISIN!$C:$C,0))),)</f>
        <v/>
      </c>
      <c r="R833" s="36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5" t="str">
        <f t="shared" si="1"/>
        <v/>
      </c>
      <c r="T833" s="37" t="str">
        <f t="shared" si="2"/>
        <v/>
      </c>
      <c r="U833" s="38" t="str">
        <f t="shared" si="3"/>
        <v/>
      </c>
      <c r="V833" s="32" t="str">
        <f t="shared" si="4"/>
        <v/>
      </c>
      <c r="W833" s="39" t="str">
        <f>IFERROR(__xludf.DUMMYFUNCTION(" IF(Account!$F833&lt;&gt;"""", SPLIT(Account!$F833, "" ""), """")"),"")</f>
        <v/>
      </c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</row>
    <row r="834">
      <c r="A834" s="12"/>
      <c r="B834" s="12"/>
      <c r="C834" s="12"/>
      <c r="D834" s="12"/>
      <c r="E834" s="12"/>
      <c r="F834" s="13"/>
      <c r="G834" s="291"/>
      <c r="H834" s="12"/>
      <c r="I834" s="12"/>
      <c r="J834" s="12"/>
      <c r="K834" s="12"/>
      <c r="L834" s="13"/>
      <c r="M834" s="30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2" t="str">
        <f>IFERROR(__xludf.DUMMYFUNCTION("IF(Account!$F834&lt;&gt;"""", VALUE(REGEXREPLACE($I834, ""\,"", ""."")), """")"),"")</f>
        <v/>
      </c>
      <c r="O834" s="33" t="str">
        <f>IF(Account!$F834&lt;&gt;"", DATEVALUE(MID($A834,4,3) &amp; LEFT($A834,3) &amp; RIGHT($A834,4)) + TIMEVALUE($B834), "")</f>
        <v/>
      </c>
      <c r="P834" s="34" t="str">
        <f>IF(Account!$F834&lt;&gt;"", DATEVALUE(MID($C834,4,3) &amp; LEFT($C834,3) &amp; RIGHT($C834,4)), "")</f>
        <v/>
      </c>
      <c r="Q834" s="35" t="str">
        <f t="array" ref="Q834">IF($R834&lt;&gt;"",IFERROR(INDEX(ISIN!$B:$B,MATCH($R834,ISIN!$C:$C,0))),)</f>
        <v/>
      </c>
      <c r="R834" s="36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5" t="str">
        <f t="shared" si="1"/>
        <v/>
      </c>
      <c r="T834" s="37" t="str">
        <f t="shared" si="2"/>
        <v/>
      </c>
      <c r="U834" s="38" t="str">
        <f t="shared" si="3"/>
        <v/>
      </c>
      <c r="V834" s="32" t="str">
        <f t="shared" si="4"/>
        <v/>
      </c>
      <c r="W834" s="39" t="str">
        <f>IFERROR(__xludf.DUMMYFUNCTION(" IF(Account!$F834&lt;&gt;"""", SPLIT(Account!$F834, "" ""), """")"),"")</f>
        <v/>
      </c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</row>
    <row r="835">
      <c r="A835" s="12"/>
      <c r="B835" s="12"/>
      <c r="C835" s="12"/>
      <c r="D835" s="12"/>
      <c r="E835" s="12"/>
      <c r="F835" s="13"/>
      <c r="G835" s="291"/>
      <c r="H835" s="12"/>
      <c r="I835" s="12"/>
      <c r="J835" s="12"/>
      <c r="K835" s="12"/>
      <c r="L835" s="13"/>
      <c r="M835" s="30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2" t="str">
        <f>IFERROR(__xludf.DUMMYFUNCTION("IF(Account!$F835&lt;&gt;"""", VALUE(REGEXREPLACE($I835, ""\,"", ""."")), """")"),"")</f>
        <v/>
      </c>
      <c r="O835" s="33" t="str">
        <f>IF(Account!$F835&lt;&gt;"", DATEVALUE(MID($A835,4,3) &amp; LEFT($A835,3) &amp; RIGHT($A835,4)) + TIMEVALUE($B835), "")</f>
        <v/>
      </c>
      <c r="P835" s="34" t="str">
        <f>IF(Account!$F835&lt;&gt;"", DATEVALUE(MID($C835,4,3) &amp; LEFT($C835,3) &amp; RIGHT($C835,4)), "")</f>
        <v/>
      </c>
      <c r="Q835" s="35" t="str">
        <f t="array" ref="Q835">IF($R835&lt;&gt;"",IFERROR(INDEX(ISIN!$B:$B,MATCH($R835,ISIN!$C:$C,0))),)</f>
        <v/>
      </c>
      <c r="R835" s="36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5" t="str">
        <f t="shared" si="1"/>
        <v/>
      </c>
      <c r="T835" s="37" t="str">
        <f t="shared" si="2"/>
        <v/>
      </c>
      <c r="U835" s="38" t="str">
        <f t="shared" si="3"/>
        <v/>
      </c>
      <c r="V835" s="32" t="str">
        <f t="shared" si="4"/>
        <v/>
      </c>
      <c r="W835" s="39" t="str">
        <f>IFERROR(__xludf.DUMMYFUNCTION(" IF(Account!$F835&lt;&gt;"""", SPLIT(Account!$F835, "" ""), """")"),"")</f>
        <v/>
      </c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</row>
    <row r="836">
      <c r="A836" s="12"/>
      <c r="B836" s="12"/>
      <c r="C836" s="12"/>
      <c r="D836" s="12"/>
      <c r="E836" s="12"/>
      <c r="F836" s="13"/>
      <c r="G836" s="291"/>
      <c r="H836" s="12"/>
      <c r="I836" s="12"/>
      <c r="J836" s="12"/>
      <c r="K836" s="12"/>
      <c r="L836" s="13"/>
      <c r="M836" s="30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2" t="str">
        <f>IFERROR(__xludf.DUMMYFUNCTION("IF(Account!$F836&lt;&gt;"""", VALUE(REGEXREPLACE($I836, ""\,"", ""."")), """")"),"")</f>
        <v/>
      </c>
      <c r="O836" s="33" t="str">
        <f>IF(Account!$F836&lt;&gt;"", DATEVALUE(MID($A836,4,3) &amp; LEFT($A836,3) &amp; RIGHT($A836,4)) + TIMEVALUE($B836), "")</f>
        <v/>
      </c>
      <c r="P836" s="34" t="str">
        <f>IF(Account!$F836&lt;&gt;"", DATEVALUE(MID($C836,4,3) &amp; LEFT($C836,3) &amp; RIGHT($C836,4)), "")</f>
        <v/>
      </c>
      <c r="Q836" s="35" t="str">
        <f t="array" ref="Q836">IF($R836&lt;&gt;"",IFERROR(INDEX(ISIN!$B:$B,MATCH($R836,ISIN!$C:$C,0))),)</f>
        <v/>
      </c>
      <c r="R836" s="36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5" t="str">
        <f t="shared" si="1"/>
        <v/>
      </c>
      <c r="T836" s="37" t="str">
        <f t="shared" si="2"/>
        <v/>
      </c>
      <c r="U836" s="38" t="str">
        <f t="shared" si="3"/>
        <v/>
      </c>
      <c r="V836" s="32" t="str">
        <f t="shared" si="4"/>
        <v/>
      </c>
      <c r="W836" s="39" t="str">
        <f>IFERROR(__xludf.DUMMYFUNCTION(" IF(Account!$F836&lt;&gt;"""", SPLIT(Account!$F836, "" ""), """")"),"")</f>
        <v/>
      </c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</row>
    <row r="837">
      <c r="A837" s="12"/>
      <c r="B837" s="12"/>
      <c r="C837" s="12"/>
      <c r="D837" s="12"/>
      <c r="E837" s="12"/>
      <c r="F837" s="13"/>
      <c r="G837" s="291"/>
      <c r="H837" s="291"/>
      <c r="I837" s="291"/>
      <c r="J837" s="12"/>
      <c r="K837" s="12"/>
      <c r="L837" s="335"/>
      <c r="M837" s="30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2" t="str">
        <f>IFERROR(__xludf.DUMMYFUNCTION("IF(Account!$F837&lt;&gt;"""", VALUE(REGEXREPLACE($I837, ""\,"", ""."")), """")"),"")</f>
        <v/>
      </c>
      <c r="O837" s="33" t="str">
        <f>IF(Account!$F837&lt;&gt;"", DATEVALUE(MID($A837,4,3) &amp; LEFT($A837,3) &amp; RIGHT($A837,4)) + TIMEVALUE($B837), "")</f>
        <v/>
      </c>
      <c r="P837" s="34" t="str">
        <f>IF(Account!$F837&lt;&gt;"", DATEVALUE(MID($C837,4,3) &amp; LEFT($C837,3) &amp; RIGHT($C837,4)), "")</f>
        <v/>
      </c>
      <c r="Q837" s="35" t="str">
        <f t="array" ref="Q837">IF($R837&lt;&gt;"",IFERROR(INDEX(ISIN!$B:$B,MATCH($R837,ISIN!$C:$C,0))),)</f>
        <v/>
      </c>
      <c r="R837" s="36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5" t="str">
        <f t="shared" si="1"/>
        <v/>
      </c>
      <c r="T837" s="37" t="str">
        <f t="shared" si="2"/>
        <v/>
      </c>
      <c r="U837" s="38" t="str">
        <f t="shared" si="3"/>
        <v/>
      </c>
      <c r="V837" s="32" t="str">
        <f t="shared" si="4"/>
        <v/>
      </c>
      <c r="W837" s="39" t="str">
        <f>IFERROR(__xludf.DUMMYFUNCTION(" IF(Account!$F837&lt;&gt;"""", SPLIT(Account!$F837, "" ""), """")"),"")</f>
        <v/>
      </c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</row>
    <row r="838">
      <c r="A838" s="12"/>
      <c r="B838" s="12"/>
      <c r="C838" s="12"/>
      <c r="D838" s="12"/>
      <c r="E838" s="12"/>
      <c r="F838" s="13"/>
      <c r="G838" s="291"/>
      <c r="H838" s="12"/>
      <c r="I838" s="12"/>
      <c r="J838" s="12"/>
      <c r="K838" s="12"/>
      <c r="L838" s="335"/>
      <c r="M838" s="30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2" t="str">
        <f>IFERROR(__xludf.DUMMYFUNCTION("IF(Account!$F838&lt;&gt;"""", VALUE(REGEXREPLACE($I838, ""\,"", ""."")), """")"),"")</f>
        <v/>
      </c>
      <c r="O838" s="33" t="str">
        <f>IF(Account!$F838&lt;&gt;"", DATEVALUE(MID($A838,4,3) &amp; LEFT($A838,3) &amp; RIGHT($A838,4)) + TIMEVALUE($B838), "")</f>
        <v/>
      </c>
      <c r="P838" s="34" t="str">
        <f>IF(Account!$F838&lt;&gt;"", DATEVALUE(MID($C838,4,3) &amp; LEFT($C838,3) &amp; RIGHT($C838,4)), "")</f>
        <v/>
      </c>
      <c r="Q838" s="35" t="str">
        <f t="array" ref="Q838">IF($R838&lt;&gt;"",IFERROR(INDEX(ISIN!$B:$B,MATCH($R838,ISIN!$C:$C,0))),)</f>
        <v/>
      </c>
      <c r="R838" s="36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5" t="str">
        <f t="shared" si="1"/>
        <v/>
      </c>
      <c r="T838" s="37" t="str">
        <f t="shared" si="2"/>
        <v/>
      </c>
      <c r="U838" s="38" t="str">
        <f t="shared" si="3"/>
        <v/>
      </c>
      <c r="V838" s="32" t="str">
        <f t="shared" si="4"/>
        <v/>
      </c>
      <c r="W838" s="39" t="str">
        <f>IFERROR(__xludf.DUMMYFUNCTION(" IF(Account!$F838&lt;&gt;"""", SPLIT(Account!$F838, "" ""), """")"),"")</f>
        <v/>
      </c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</row>
    <row r="839">
      <c r="A839" s="12"/>
      <c r="B839" s="12"/>
      <c r="C839" s="12"/>
      <c r="D839" s="12"/>
      <c r="E839" s="12"/>
      <c r="F839" s="13"/>
      <c r="G839" s="291"/>
      <c r="H839" s="12"/>
      <c r="I839" s="12"/>
      <c r="J839" s="12"/>
      <c r="K839" s="12"/>
      <c r="L839" s="335"/>
      <c r="M839" s="30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2" t="str">
        <f>IFERROR(__xludf.DUMMYFUNCTION("IF(Account!$F839&lt;&gt;"""", VALUE(REGEXREPLACE($I839, ""\,"", ""."")), """")"),"")</f>
        <v/>
      </c>
      <c r="O839" s="33" t="str">
        <f>IF(Account!$F839&lt;&gt;"", DATEVALUE(MID($A839,4,3) &amp; LEFT($A839,3) &amp; RIGHT($A839,4)) + TIMEVALUE($B839), "")</f>
        <v/>
      </c>
      <c r="P839" s="34" t="str">
        <f>IF(Account!$F839&lt;&gt;"", DATEVALUE(MID($C839,4,3) &amp; LEFT($C839,3) &amp; RIGHT($C839,4)), "")</f>
        <v/>
      </c>
      <c r="Q839" s="35" t="str">
        <f t="array" ref="Q839">IF($R839&lt;&gt;"",IFERROR(INDEX(ISIN!$B:$B,MATCH($R839,ISIN!$C:$C,0))),)</f>
        <v/>
      </c>
      <c r="R839" s="36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5" t="str">
        <f t="shared" si="1"/>
        <v/>
      </c>
      <c r="T839" s="37" t="str">
        <f t="shared" si="2"/>
        <v/>
      </c>
      <c r="U839" s="38" t="str">
        <f t="shared" si="3"/>
        <v/>
      </c>
      <c r="V839" s="32" t="str">
        <f t="shared" si="4"/>
        <v/>
      </c>
      <c r="W839" s="39" t="str">
        <f>IFERROR(__xludf.DUMMYFUNCTION(" IF(Account!$F839&lt;&gt;"""", SPLIT(Account!$F839, "" ""), """")"),"")</f>
        <v/>
      </c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</row>
    <row r="840">
      <c r="A840" s="12"/>
      <c r="B840" s="12"/>
      <c r="C840" s="12"/>
      <c r="D840" s="291"/>
      <c r="E840" s="291"/>
      <c r="F840" s="13"/>
      <c r="G840" s="291"/>
      <c r="H840" s="12"/>
      <c r="I840" s="12"/>
      <c r="J840" s="12"/>
      <c r="K840" s="12"/>
      <c r="L840" s="335"/>
      <c r="M840" s="30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2" t="str">
        <f>IFERROR(__xludf.DUMMYFUNCTION("IF(Account!$F840&lt;&gt;"""", VALUE(REGEXREPLACE($I840, ""\,"", ""."")), """")"),"")</f>
        <v/>
      </c>
      <c r="O840" s="33" t="str">
        <f>IF(Account!$F840&lt;&gt;"", DATEVALUE(MID($A840,4,3) &amp; LEFT($A840,3) &amp; RIGHT($A840,4)) + TIMEVALUE($B840), "")</f>
        <v/>
      </c>
      <c r="P840" s="34" t="str">
        <f>IF(Account!$F840&lt;&gt;"", DATEVALUE(MID($C840,4,3) &amp; LEFT($C840,3) &amp; RIGHT($C840,4)), "")</f>
        <v/>
      </c>
      <c r="Q840" s="35" t="str">
        <f t="array" ref="Q840">IF($R840&lt;&gt;"",IFERROR(INDEX(ISIN!$B:$B,MATCH($R840,ISIN!$C:$C,0))),)</f>
        <v/>
      </c>
      <c r="R840" s="36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5" t="str">
        <f t="shared" si="1"/>
        <v/>
      </c>
      <c r="T840" s="37" t="str">
        <f t="shared" si="2"/>
        <v/>
      </c>
      <c r="U840" s="38" t="str">
        <f t="shared" si="3"/>
        <v/>
      </c>
      <c r="V840" s="32" t="str">
        <f t="shared" si="4"/>
        <v/>
      </c>
      <c r="W840" s="39" t="str">
        <f>IFERROR(__xludf.DUMMYFUNCTION(" IF(Account!$F840&lt;&gt;"""", SPLIT(Account!$F840, "" ""), """")"),"")</f>
        <v/>
      </c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</row>
    <row r="841">
      <c r="A841" s="12"/>
      <c r="B841" s="12"/>
      <c r="C841" s="12"/>
      <c r="D841" s="12"/>
      <c r="E841" s="12"/>
      <c r="F841" s="13"/>
      <c r="G841" s="291"/>
      <c r="H841" s="291"/>
      <c r="I841" s="291"/>
      <c r="J841" s="12"/>
      <c r="K841" s="12"/>
      <c r="L841" s="335"/>
      <c r="M841" s="30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2" t="str">
        <f>IFERROR(__xludf.DUMMYFUNCTION("IF(Account!$F841&lt;&gt;"""", VALUE(REGEXREPLACE($I841, ""\,"", ""."")), """")"),"")</f>
        <v/>
      </c>
      <c r="O841" s="33" t="str">
        <f>IF(Account!$F841&lt;&gt;"", DATEVALUE(MID($A841,4,3) &amp; LEFT($A841,3) &amp; RIGHT($A841,4)) + TIMEVALUE($B841), "")</f>
        <v/>
      </c>
      <c r="P841" s="34" t="str">
        <f>IF(Account!$F841&lt;&gt;"", DATEVALUE(MID($C841,4,3) &amp; LEFT($C841,3) &amp; RIGHT($C841,4)), "")</f>
        <v/>
      </c>
      <c r="Q841" s="35" t="str">
        <f t="array" ref="Q841">IF($R841&lt;&gt;"",IFERROR(INDEX(ISIN!$B:$B,MATCH($R841,ISIN!$C:$C,0))),)</f>
        <v/>
      </c>
      <c r="R841" s="36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5" t="str">
        <f t="shared" si="1"/>
        <v/>
      </c>
      <c r="T841" s="37" t="str">
        <f t="shared" si="2"/>
        <v/>
      </c>
      <c r="U841" s="38" t="str">
        <f t="shared" si="3"/>
        <v/>
      </c>
      <c r="V841" s="32" t="str">
        <f t="shared" si="4"/>
        <v/>
      </c>
      <c r="W841" s="39" t="str">
        <f>IFERROR(__xludf.DUMMYFUNCTION(" IF(Account!$F841&lt;&gt;"""", SPLIT(Account!$F841, "" ""), """")"),"")</f>
        <v/>
      </c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</row>
    <row r="842">
      <c r="A842" s="12"/>
      <c r="B842" s="12"/>
      <c r="C842" s="12"/>
      <c r="D842" s="291"/>
      <c r="E842" s="291"/>
      <c r="F842" s="13"/>
      <c r="G842" s="291"/>
      <c r="H842" s="12"/>
      <c r="I842" s="12"/>
      <c r="J842" s="12"/>
      <c r="K842" s="12"/>
      <c r="L842" s="335"/>
      <c r="M842" s="30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2" t="str">
        <f>IFERROR(__xludf.DUMMYFUNCTION("IF(Account!$F842&lt;&gt;"""", VALUE(REGEXREPLACE($I842, ""\,"", ""."")), """")"),"")</f>
        <v/>
      </c>
      <c r="O842" s="33" t="str">
        <f>IF(Account!$F842&lt;&gt;"", DATEVALUE(MID($A842,4,3) &amp; LEFT($A842,3) &amp; RIGHT($A842,4)) + TIMEVALUE($B842), "")</f>
        <v/>
      </c>
      <c r="P842" s="34" t="str">
        <f>IF(Account!$F842&lt;&gt;"", DATEVALUE(MID($C842,4,3) &amp; LEFT($C842,3) &amp; RIGHT($C842,4)), "")</f>
        <v/>
      </c>
      <c r="Q842" s="35" t="str">
        <f t="array" ref="Q842">IF($R842&lt;&gt;"",IFERROR(INDEX(ISIN!$B:$B,MATCH($R842,ISIN!$C:$C,0))),)</f>
        <v/>
      </c>
      <c r="R842" s="36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5" t="str">
        <f t="shared" si="1"/>
        <v/>
      </c>
      <c r="T842" s="37" t="str">
        <f t="shared" si="2"/>
        <v/>
      </c>
      <c r="U842" s="38" t="str">
        <f t="shared" si="3"/>
        <v/>
      </c>
      <c r="V842" s="32" t="str">
        <f t="shared" si="4"/>
        <v/>
      </c>
      <c r="W842" s="39" t="str">
        <f>IFERROR(__xludf.DUMMYFUNCTION(" IF(Account!$F842&lt;&gt;"""", SPLIT(Account!$F842, "" ""), """")"),"")</f>
        <v/>
      </c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</row>
    <row r="843">
      <c r="A843" s="12"/>
      <c r="B843" s="12"/>
      <c r="C843" s="12"/>
      <c r="D843" s="291"/>
      <c r="E843" s="291"/>
      <c r="F843" s="13"/>
      <c r="G843" s="12"/>
      <c r="H843" s="12"/>
      <c r="I843" s="12"/>
      <c r="J843" s="12"/>
      <c r="K843" s="12"/>
      <c r="L843" s="335"/>
      <c r="M843" s="30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2" t="str">
        <f>IFERROR(__xludf.DUMMYFUNCTION("IF(Account!$F843&lt;&gt;"""", VALUE(REGEXREPLACE($I843, ""\,"", ""."")), """")"),"")</f>
        <v/>
      </c>
      <c r="O843" s="33" t="str">
        <f>IF(Account!$F843&lt;&gt;"", DATEVALUE(MID($A843,4,3) &amp; LEFT($A843,3) &amp; RIGHT($A843,4)) + TIMEVALUE($B843), "")</f>
        <v/>
      </c>
      <c r="P843" s="34" t="str">
        <f>IF(Account!$F843&lt;&gt;"", DATEVALUE(MID($C843,4,3) &amp; LEFT($C843,3) &amp; RIGHT($C843,4)), "")</f>
        <v/>
      </c>
      <c r="Q843" s="35" t="str">
        <f t="array" ref="Q843">IF($R843&lt;&gt;"",IFERROR(INDEX(ISIN!$B:$B,MATCH($R843,ISIN!$C:$C,0))),)</f>
        <v/>
      </c>
      <c r="R843" s="36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5" t="str">
        <f t="shared" si="1"/>
        <v/>
      </c>
      <c r="T843" s="37" t="str">
        <f t="shared" si="2"/>
        <v/>
      </c>
      <c r="U843" s="38" t="str">
        <f t="shared" si="3"/>
        <v/>
      </c>
      <c r="V843" s="32" t="str">
        <f t="shared" si="4"/>
        <v/>
      </c>
      <c r="W843" s="39" t="str">
        <f>IFERROR(__xludf.DUMMYFUNCTION(" IF(Account!$F843&lt;&gt;"""", SPLIT(Account!$F843, "" ""), """")"),"")</f>
        <v/>
      </c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</row>
    <row r="844">
      <c r="A844" s="12"/>
      <c r="B844" s="12"/>
      <c r="C844" s="12"/>
      <c r="D844" s="12"/>
      <c r="E844" s="12"/>
      <c r="F844" s="13"/>
      <c r="G844" s="291"/>
      <c r="H844" s="12"/>
      <c r="I844" s="12"/>
      <c r="J844" s="12"/>
      <c r="K844" s="12"/>
      <c r="L844" s="335"/>
      <c r="M844" s="30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2" t="str">
        <f>IFERROR(__xludf.DUMMYFUNCTION("IF(Account!$F844&lt;&gt;"""", VALUE(REGEXREPLACE($I844, ""\,"", ""."")), """")"),"")</f>
        <v/>
      </c>
      <c r="O844" s="33" t="str">
        <f>IF(Account!$F844&lt;&gt;"", DATEVALUE(MID($A844,4,3) &amp; LEFT($A844,3) &amp; RIGHT($A844,4)) + TIMEVALUE($B844), "")</f>
        <v/>
      </c>
      <c r="P844" s="34" t="str">
        <f>IF(Account!$F844&lt;&gt;"", DATEVALUE(MID($C844,4,3) &amp; LEFT($C844,3) &amp; RIGHT($C844,4)), "")</f>
        <v/>
      </c>
      <c r="Q844" s="35" t="str">
        <f t="array" ref="Q844">IF($R844&lt;&gt;"",IFERROR(INDEX(ISIN!$B:$B,MATCH($R844,ISIN!$C:$C,0))),)</f>
        <v/>
      </c>
      <c r="R844" s="36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5" t="str">
        <f t="shared" si="1"/>
        <v/>
      </c>
      <c r="T844" s="37" t="str">
        <f t="shared" si="2"/>
        <v/>
      </c>
      <c r="U844" s="38" t="str">
        <f t="shared" si="3"/>
        <v/>
      </c>
      <c r="V844" s="32" t="str">
        <f t="shared" si="4"/>
        <v/>
      </c>
      <c r="W844" s="39" t="str">
        <f>IFERROR(__xludf.DUMMYFUNCTION(" IF(Account!$F844&lt;&gt;"""", SPLIT(Account!$F844, "" ""), """")"),"")</f>
        <v/>
      </c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</row>
    <row r="845">
      <c r="A845" s="12"/>
      <c r="B845" s="12"/>
      <c r="C845" s="12"/>
      <c r="D845" s="12"/>
      <c r="E845" s="12"/>
      <c r="F845" s="13"/>
      <c r="G845" s="291"/>
      <c r="H845" s="12"/>
      <c r="I845" s="12"/>
      <c r="J845" s="12"/>
      <c r="K845" s="12"/>
      <c r="L845" s="335"/>
      <c r="M845" s="30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2" t="str">
        <f>IFERROR(__xludf.DUMMYFUNCTION("IF(Account!$F845&lt;&gt;"""", VALUE(REGEXREPLACE($I845, ""\,"", ""."")), """")"),"")</f>
        <v/>
      </c>
      <c r="O845" s="33" t="str">
        <f>IF(Account!$F845&lt;&gt;"", DATEVALUE(MID($A845,4,3) &amp; LEFT($A845,3) &amp; RIGHT($A845,4)) + TIMEVALUE($B845), "")</f>
        <v/>
      </c>
      <c r="P845" s="34" t="str">
        <f>IF(Account!$F845&lt;&gt;"", DATEVALUE(MID($C845,4,3) &amp; LEFT($C845,3) &amp; RIGHT($C845,4)), "")</f>
        <v/>
      </c>
      <c r="Q845" s="35" t="str">
        <f t="array" ref="Q845">IF($R845&lt;&gt;"",IFERROR(INDEX(ISIN!$B:$B,MATCH($R845,ISIN!$C:$C,0))),)</f>
        <v/>
      </c>
      <c r="R845" s="36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5" t="str">
        <f t="shared" si="1"/>
        <v/>
      </c>
      <c r="T845" s="37" t="str">
        <f t="shared" si="2"/>
        <v/>
      </c>
      <c r="U845" s="38" t="str">
        <f t="shared" si="3"/>
        <v/>
      </c>
      <c r="V845" s="32" t="str">
        <f t="shared" si="4"/>
        <v/>
      </c>
      <c r="W845" s="39" t="str">
        <f>IFERROR(__xludf.DUMMYFUNCTION(" IF(Account!$F845&lt;&gt;"""", SPLIT(Account!$F845, "" ""), """")"),"")</f>
        <v/>
      </c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</row>
    <row r="846">
      <c r="A846" s="12"/>
      <c r="B846" s="12"/>
      <c r="C846" s="12"/>
      <c r="D846" s="291"/>
      <c r="E846" s="291"/>
      <c r="F846" s="13"/>
      <c r="G846" s="291"/>
      <c r="H846" s="12"/>
      <c r="I846" s="12"/>
      <c r="J846" s="12"/>
      <c r="K846" s="12"/>
      <c r="L846" s="335"/>
      <c r="M846" s="30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2" t="str">
        <f>IFERROR(__xludf.DUMMYFUNCTION("IF(Account!$F846&lt;&gt;"""", VALUE(REGEXREPLACE($I846, ""\,"", ""."")), """")"),"")</f>
        <v/>
      </c>
      <c r="O846" s="33" t="str">
        <f>IF(Account!$F846&lt;&gt;"", DATEVALUE(MID($A846,4,3) &amp; LEFT($A846,3) &amp; RIGHT($A846,4)) + TIMEVALUE($B846), "")</f>
        <v/>
      </c>
      <c r="P846" s="34" t="str">
        <f>IF(Account!$F846&lt;&gt;"", DATEVALUE(MID($C846,4,3) &amp; LEFT($C846,3) &amp; RIGHT($C846,4)), "")</f>
        <v/>
      </c>
      <c r="Q846" s="35" t="str">
        <f t="array" ref="Q846">IF($R846&lt;&gt;"",IFERROR(INDEX(ISIN!$B:$B,MATCH($R846,ISIN!$C:$C,0))),)</f>
        <v/>
      </c>
      <c r="R846" s="36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5" t="str">
        <f t="shared" si="1"/>
        <v/>
      </c>
      <c r="T846" s="37" t="str">
        <f t="shared" si="2"/>
        <v/>
      </c>
      <c r="U846" s="38" t="str">
        <f t="shared" si="3"/>
        <v/>
      </c>
      <c r="V846" s="32" t="str">
        <f t="shared" si="4"/>
        <v/>
      </c>
      <c r="W846" s="39" t="str">
        <f>IFERROR(__xludf.DUMMYFUNCTION(" IF(Account!$F846&lt;&gt;"""", SPLIT(Account!$F846, "" ""), """")"),"")</f>
        <v/>
      </c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</row>
    <row r="847">
      <c r="A847" s="12"/>
      <c r="B847" s="12"/>
      <c r="C847" s="12"/>
      <c r="D847" s="291"/>
      <c r="E847" s="291"/>
      <c r="F847" s="13"/>
      <c r="G847" s="12"/>
      <c r="H847" s="12"/>
      <c r="I847" s="12"/>
      <c r="J847" s="12"/>
      <c r="K847" s="12"/>
      <c r="L847" s="335"/>
      <c r="M847" s="30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2" t="str">
        <f>IFERROR(__xludf.DUMMYFUNCTION("IF(Account!$F847&lt;&gt;"""", VALUE(REGEXREPLACE($I847, ""\,"", ""."")), """")"),"")</f>
        <v/>
      </c>
      <c r="O847" s="33" t="str">
        <f>IF(Account!$F847&lt;&gt;"", DATEVALUE(MID($A847,4,3) &amp; LEFT($A847,3) &amp; RIGHT($A847,4)) + TIMEVALUE($B847), "")</f>
        <v/>
      </c>
      <c r="P847" s="34" t="str">
        <f>IF(Account!$F847&lt;&gt;"", DATEVALUE(MID($C847,4,3) &amp; LEFT($C847,3) &amp; RIGHT($C847,4)), "")</f>
        <v/>
      </c>
      <c r="Q847" s="35" t="str">
        <f t="array" ref="Q847">IF($R847&lt;&gt;"",IFERROR(INDEX(ISIN!$B:$B,MATCH($R847,ISIN!$C:$C,0))),)</f>
        <v/>
      </c>
      <c r="R847" s="36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5" t="str">
        <f t="shared" si="1"/>
        <v/>
      </c>
      <c r="T847" s="37" t="str">
        <f t="shared" si="2"/>
        <v/>
      </c>
      <c r="U847" s="38" t="str">
        <f t="shared" si="3"/>
        <v/>
      </c>
      <c r="V847" s="32" t="str">
        <f t="shared" si="4"/>
        <v/>
      </c>
      <c r="W847" s="39" t="str">
        <f>IFERROR(__xludf.DUMMYFUNCTION(" IF(Account!$F847&lt;&gt;"""", SPLIT(Account!$F847, "" ""), """")"),"")</f>
        <v/>
      </c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</row>
    <row r="848">
      <c r="A848" s="12"/>
      <c r="B848" s="12"/>
      <c r="C848" s="12"/>
      <c r="D848" s="12"/>
      <c r="E848" s="12"/>
      <c r="F848" s="13"/>
      <c r="G848" s="291"/>
      <c r="H848" s="291"/>
      <c r="I848" s="291"/>
      <c r="J848" s="12"/>
      <c r="K848" s="12"/>
      <c r="L848" s="335"/>
      <c r="M848" s="30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2" t="str">
        <f>IFERROR(__xludf.DUMMYFUNCTION("IF(Account!$F848&lt;&gt;"""", VALUE(REGEXREPLACE($I848, ""\,"", ""."")), """")"),"")</f>
        <v/>
      </c>
      <c r="O848" s="33" t="str">
        <f>IF(Account!$F848&lt;&gt;"", DATEVALUE(MID($A848,4,3) &amp; LEFT($A848,3) &amp; RIGHT($A848,4)) + TIMEVALUE($B848), "")</f>
        <v/>
      </c>
      <c r="P848" s="34" t="str">
        <f>IF(Account!$F848&lt;&gt;"", DATEVALUE(MID($C848,4,3) &amp; LEFT($C848,3) &amp; RIGHT($C848,4)), "")</f>
        <v/>
      </c>
      <c r="Q848" s="35" t="str">
        <f t="array" ref="Q848">IF($R848&lt;&gt;"",IFERROR(INDEX(ISIN!$B:$B,MATCH($R848,ISIN!$C:$C,0))),)</f>
        <v/>
      </c>
      <c r="R848" s="36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5" t="str">
        <f t="shared" si="1"/>
        <v/>
      </c>
      <c r="T848" s="37" t="str">
        <f t="shared" si="2"/>
        <v/>
      </c>
      <c r="U848" s="38" t="str">
        <f t="shared" si="3"/>
        <v/>
      </c>
      <c r="V848" s="32" t="str">
        <f t="shared" si="4"/>
        <v/>
      </c>
      <c r="W848" s="39" t="str">
        <f>IFERROR(__xludf.DUMMYFUNCTION(" IF(Account!$F848&lt;&gt;"""", SPLIT(Account!$F848, "" ""), """")"),"")</f>
        <v/>
      </c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</row>
    <row r="849">
      <c r="A849" s="12"/>
      <c r="B849" s="12"/>
      <c r="C849" s="12"/>
      <c r="D849" s="12"/>
      <c r="E849" s="12"/>
      <c r="F849" s="13"/>
      <c r="G849" s="291"/>
      <c r="H849" s="12"/>
      <c r="I849" s="12"/>
      <c r="J849" s="12"/>
      <c r="K849" s="12"/>
      <c r="L849" s="335"/>
      <c r="M849" s="30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2" t="str">
        <f>IFERROR(__xludf.DUMMYFUNCTION("IF(Account!$F849&lt;&gt;"""", VALUE(REGEXREPLACE($I849, ""\,"", ""."")), """")"),"")</f>
        <v/>
      </c>
      <c r="O849" s="33" t="str">
        <f>IF(Account!$F849&lt;&gt;"", DATEVALUE(MID($A849,4,3) &amp; LEFT($A849,3) &amp; RIGHT($A849,4)) + TIMEVALUE($B849), "")</f>
        <v/>
      </c>
      <c r="P849" s="34" t="str">
        <f>IF(Account!$F849&lt;&gt;"", DATEVALUE(MID($C849,4,3) &amp; LEFT($C849,3) &amp; RIGHT($C849,4)), "")</f>
        <v/>
      </c>
      <c r="Q849" s="35" t="str">
        <f t="array" ref="Q849">IF($R849&lt;&gt;"",IFERROR(INDEX(ISIN!$B:$B,MATCH($R849,ISIN!$C:$C,0))),)</f>
        <v/>
      </c>
      <c r="R849" s="36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5" t="str">
        <f t="shared" si="1"/>
        <v/>
      </c>
      <c r="T849" s="37" t="str">
        <f t="shared" si="2"/>
        <v/>
      </c>
      <c r="U849" s="38" t="str">
        <f t="shared" si="3"/>
        <v/>
      </c>
      <c r="V849" s="32" t="str">
        <f t="shared" si="4"/>
        <v/>
      </c>
      <c r="W849" s="39" t="str">
        <f>IFERROR(__xludf.DUMMYFUNCTION(" IF(Account!$F849&lt;&gt;"""", SPLIT(Account!$F849, "" ""), """")"),"")</f>
        <v/>
      </c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</row>
    <row r="850">
      <c r="A850" s="12"/>
      <c r="B850" s="12"/>
      <c r="C850" s="12"/>
      <c r="D850" s="12"/>
      <c r="E850" s="12"/>
      <c r="F850" s="13"/>
      <c r="G850" s="12"/>
      <c r="H850" s="12"/>
      <c r="I850" s="12"/>
      <c r="J850" s="12"/>
      <c r="K850" s="12"/>
      <c r="L850" s="13"/>
      <c r="M850" s="30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2" t="str">
        <f>IFERROR(__xludf.DUMMYFUNCTION("IF(Account!$F850&lt;&gt;"""", VALUE(REGEXREPLACE($I850, ""\,"", ""."")), """")"),"")</f>
        <v/>
      </c>
      <c r="O850" s="33" t="str">
        <f>IF(Account!$F850&lt;&gt;"", DATEVALUE(MID($A850,4,3) &amp; LEFT($A850,3) &amp; RIGHT($A850,4)) + TIMEVALUE($B850), "")</f>
        <v/>
      </c>
      <c r="P850" s="34" t="str">
        <f>IF(Account!$F850&lt;&gt;"", DATEVALUE(MID($C850,4,3) &amp; LEFT($C850,3) &amp; RIGHT($C850,4)), "")</f>
        <v/>
      </c>
      <c r="Q850" s="35" t="str">
        <f t="array" ref="Q850">IF($R850&lt;&gt;"",IFERROR(INDEX(ISIN!$B:$B,MATCH($R850,ISIN!$C:$C,0))),)</f>
        <v/>
      </c>
      <c r="R850" s="36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5" t="str">
        <f t="shared" si="1"/>
        <v/>
      </c>
      <c r="T850" s="37" t="str">
        <f t="shared" si="2"/>
        <v/>
      </c>
      <c r="U850" s="38" t="str">
        <f t="shared" si="3"/>
        <v/>
      </c>
      <c r="V850" s="32" t="str">
        <f t="shared" si="4"/>
        <v/>
      </c>
      <c r="W850" s="39" t="str">
        <f>IFERROR(__xludf.DUMMYFUNCTION(" IF(Account!$F850&lt;&gt;"""", SPLIT(Account!$F850, "" ""), """")"),"")</f>
        <v/>
      </c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</row>
    <row r="851">
      <c r="A851" s="12"/>
      <c r="B851" s="12"/>
      <c r="C851" s="12"/>
      <c r="D851" s="12"/>
      <c r="E851" s="12"/>
      <c r="F851" s="13"/>
      <c r="G851" s="291"/>
      <c r="H851" s="12"/>
      <c r="I851" s="12"/>
      <c r="J851" s="12"/>
      <c r="K851" s="12"/>
      <c r="L851" s="13"/>
      <c r="M851" s="30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2" t="str">
        <f>IFERROR(__xludf.DUMMYFUNCTION("IF(Account!$F851&lt;&gt;"""", VALUE(REGEXREPLACE($I851, ""\,"", ""."")), """")"),"")</f>
        <v/>
      </c>
      <c r="O851" s="33" t="str">
        <f>IF(Account!$F851&lt;&gt;"", DATEVALUE(MID($A851,4,3) &amp; LEFT($A851,3) &amp; RIGHT($A851,4)) + TIMEVALUE($B851), "")</f>
        <v/>
      </c>
      <c r="P851" s="34" t="str">
        <f>IF(Account!$F851&lt;&gt;"", DATEVALUE(MID($C851,4,3) &amp; LEFT($C851,3) &amp; RIGHT($C851,4)), "")</f>
        <v/>
      </c>
      <c r="Q851" s="35" t="str">
        <f t="array" ref="Q851">IF($R851&lt;&gt;"",IFERROR(INDEX(ISIN!$B:$B,MATCH($R851,ISIN!$C:$C,0))),)</f>
        <v/>
      </c>
      <c r="R851" s="36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5" t="str">
        <f t="shared" si="1"/>
        <v/>
      </c>
      <c r="T851" s="37" t="str">
        <f t="shared" si="2"/>
        <v/>
      </c>
      <c r="U851" s="38" t="str">
        <f t="shared" si="3"/>
        <v/>
      </c>
      <c r="V851" s="32" t="str">
        <f t="shared" si="4"/>
        <v/>
      </c>
      <c r="W851" s="39" t="str">
        <f>IFERROR(__xludf.DUMMYFUNCTION(" IF(Account!$F851&lt;&gt;"""", SPLIT(Account!$F851, "" ""), """")"),"")</f>
        <v/>
      </c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</row>
    <row r="852">
      <c r="A852" s="12"/>
      <c r="B852" s="12"/>
      <c r="C852" s="12"/>
      <c r="D852" s="12"/>
      <c r="E852" s="12"/>
      <c r="F852" s="13"/>
      <c r="G852" s="291"/>
      <c r="H852" s="12"/>
      <c r="I852" s="12"/>
      <c r="J852" s="12"/>
      <c r="K852" s="12"/>
      <c r="L852" s="13"/>
      <c r="M852" s="30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2" t="str">
        <f>IFERROR(__xludf.DUMMYFUNCTION("IF(Account!$F852&lt;&gt;"""", VALUE(REGEXREPLACE($I852, ""\,"", ""."")), """")"),"")</f>
        <v/>
      </c>
      <c r="O852" s="33" t="str">
        <f>IF(Account!$F852&lt;&gt;"", DATEVALUE(MID($A852,4,3) &amp; LEFT($A852,3) &amp; RIGHT($A852,4)) + TIMEVALUE($B852), "")</f>
        <v/>
      </c>
      <c r="P852" s="34" t="str">
        <f>IF(Account!$F852&lt;&gt;"", DATEVALUE(MID($C852,4,3) &amp; LEFT($C852,3) &amp; RIGHT($C852,4)), "")</f>
        <v/>
      </c>
      <c r="Q852" s="35" t="str">
        <f t="array" ref="Q852">IF($R852&lt;&gt;"",IFERROR(INDEX(ISIN!$B:$B,MATCH($R852,ISIN!$C:$C,0))),)</f>
        <v/>
      </c>
      <c r="R852" s="36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5" t="str">
        <f t="shared" si="1"/>
        <v/>
      </c>
      <c r="T852" s="37" t="str">
        <f t="shared" si="2"/>
        <v/>
      </c>
      <c r="U852" s="38" t="str">
        <f t="shared" si="3"/>
        <v/>
      </c>
      <c r="V852" s="32" t="str">
        <f t="shared" si="4"/>
        <v/>
      </c>
      <c r="W852" s="39" t="str">
        <f>IFERROR(__xludf.DUMMYFUNCTION(" IF(Account!$F852&lt;&gt;"""", SPLIT(Account!$F852, "" ""), """")"),"")</f>
        <v/>
      </c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</row>
    <row r="853">
      <c r="A853" s="12"/>
      <c r="B853" s="12"/>
      <c r="C853" s="12"/>
      <c r="D853" s="12"/>
      <c r="E853" s="12"/>
      <c r="F853" s="13"/>
      <c r="G853" s="291"/>
      <c r="H853" s="12"/>
      <c r="I853" s="12"/>
      <c r="J853" s="12"/>
      <c r="K853" s="12"/>
      <c r="L853" s="13"/>
      <c r="M853" s="30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2" t="str">
        <f>IFERROR(__xludf.DUMMYFUNCTION("IF(Account!$F853&lt;&gt;"""", VALUE(REGEXREPLACE($I853, ""\,"", ""."")), """")"),"")</f>
        <v/>
      </c>
      <c r="O853" s="33" t="str">
        <f>IF(Account!$F853&lt;&gt;"", DATEVALUE(MID($A853,4,3) &amp; LEFT($A853,3) &amp; RIGHT($A853,4)) + TIMEVALUE($B853), "")</f>
        <v/>
      </c>
      <c r="P853" s="34" t="str">
        <f>IF(Account!$F853&lt;&gt;"", DATEVALUE(MID($C853,4,3) &amp; LEFT($C853,3) &amp; RIGHT($C853,4)), "")</f>
        <v/>
      </c>
      <c r="Q853" s="35" t="str">
        <f t="array" ref="Q853">IF($R853&lt;&gt;"",IFERROR(INDEX(ISIN!$B:$B,MATCH($R853,ISIN!$C:$C,0))),)</f>
        <v/>
      </c>
      <c r="R853" s="36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5" t="str">
        <f t="shared" si="1"/>
        <v/>
      </c>
      <c r="T853" s="37" t="str">
        <f t="shared" si="2"/>
        <v/>
      </c>
      <c r="U853" s="38" t="str">
        <f t="shared" si="3"/>
        <v/>
      </c>
      <c r="V853" s="32" t="str">
        <f t="shared" si="4"/>
        <v/>
      </c>
      <c r="W853" s="39" t="str">
        <f>IFERROR(__xludf.DUMMYFUNCTION(" IF(Account!$F853&lt;&gt;"""", SPLIT(Account!$F853, "" ""), """")"),"")</f>
        <v/>
      </c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</row>
    <row r="854">
      <c r="A854" s="12"/>
      <c r="B854" s="12"/>
      <c r="C854" s="12"/>
      <c r="D854" s="12"/>
      <c r="E854" s="12"/>
      <c r="F854" s="13"/>
      <c r="G854" s="291"/>
      <c r="H854" s="12"/>
      <c r="I854" s="12"/>
      <c r="J854" s="12"/>
      <c r="K854" s="12"/>
      <c r="L854" s="13"/>
      <c r="M854" s="30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2" t="str">
        <f>IFERROR(__xludf.DUMMYFUNCTION("IF(Account!$F854&lt;&gt;"""", VALUE(REGEXREPLACE($I854, ""\,"", ""."")), """")"),"")</f>
        <v/>
      </c>
      <c r="O854" s="33" t="str">
        <f>IF(Account!$F854&lt;&gt;"", DATEVALUE(MID($A854,4,3) &amp; LEFT($A854,3) &amp; RIGHT($A854,4)) + TIMEVALUE($B854), "")</f>
        <v/>
      </c>
      <c r="P854" s="34" t="str">
        <f>IF(Account!$F854&lt;&gt;"", DATEVALUE(MID($C854,4,3) &amp; LEFT($C854,3) &amp; RIGHT($C854,4)), "")</f>
        <v/>
      </c>
      <c r="Q854" s="35" t="str">
        <f t="array" ref="Q854">IF($R854&lt;&gt;"",IFERROR(INDEX(ISIN!$B:$B,MATCH($R854,ISIN!$C:$C,0))),)</f>
        <v/>
      </c>
      <c r="R854" s="36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5" t="str">
        <f t="shared" si="1"/>
        <v/>
      </c>
      <c r="T854" s="37" t="str">
        <f t="shared" si="2"/>
        <v/>
      </c>
      <c r="U854" s="38" t="str">
        <f t="shared" si="3"/>
        <v/>
      </c>
      <c r="V854" s="32" t="str">
        <f t="shared" si="4"/>
        <v/>
      </c>
      <c r="W854" s="39" t="str">
        <f>IFERROR(__xludf.DUMMYFUNCTION(" IF(Account!$F854&lt;&gt;"""", SPLIT(Account!$F854, "" ""), """")"),"")</f>
        <v/>
      </c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</row>
    <row r="855">
      <c r="A855" s="12"/>
      <c r="B855" s="12"/>
      <c r="C855" s="12"/>
      <c r="D855" s="12"/>
      <c r="E855" s="12"/>
      <c r="F855" s="13"/>
      <c r="G855" s="12"/>
      <c r="H855" s="12"/>
      <c r="I855" s="12"/>
      <c r="J855" s="12"/>
      <c r="K855" s="12"/>
      <c r="L855" s="13"/>
      <c r="M855" s="30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2" t="str">
        <f>IFERROR(__xludf.DUMMYFUNCTION("IF(Account!$F855&lt;&gt;"""", VALUE(REGEXREPLACE($I855, ""\,"", ""."")), """")"),"")</f>
        <v/>
      </c>
      <c r="O855" s="33" t="str">
        <f>IF(Account!$F855&lt;&gt;"", DATEVALUE(MID($A855,4,3) &amp; LEFT($A855,3) &amp; RIGHT($A855,4)) + TIMEVALUE($B855), "")</f>
        <v/>
      </c>
      <c r="P855" s="34" t="str">
        <f>IF(Account!$F855&lt;&gt;"", DATEVALUE(MID($C855,4,3) &amp; LEFT($C855,3) &amp; RIGHT($C855,4)), "")</f>
        <v/>
      </c>
      <c r="Q855" s="35" t="str">
        <f t="array" ref="Q855">IF($R855&lt;&gt;"",IFERROR(INDEX(ISIN!$B:$B,MATCH($R855,ISIN!$C:$C,0))),)</f>
        <v/>
      </c>
      <c r="R855" s="36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5" t="str">
        <f t="shared" si="1"/>
        <v/>
      </c>
      <c r="T855" s="37" t="str">
        <f t="shared" si="2"/>
        <v/>
      </c>
      <c r="U855" s="38" t="str">
        <f t="shared" si="3"/>
        <v/>
      </c>
      <c r="V855" s="32" t="str">
        <f t="shared" si="4"/>
        <v/>
      </c>
      <c r="W855" s="39" t="str">
        <f>IFERROR(__xludf.DUMMYFUNCTION(" IF(Account!$F855&lt;&gt;"""", SPLIT(Account!$F855, "" ""), """")"),"")</f>
        <v/>
      </c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</row>
    <row r="856">
      <c r="A856" s="12"/>
      <c r="B856" s="12"/>
      <c r="C856" s="12"/>
      <c r="D856" s="12"/>
      <c r="E856" s="12"/>
      <c r="F856" s="13"/>
      <c r="G856" s="291"/>
      <c r="H856" s="12"/>
      <c r="I856" s="12"/>
      <c r="J856" s="12"/>
      <c r="K856" s="12"/>
      <c r="L856" s="13"/>
      <c r="M856" s="30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2" t="str">
        <f>IFERROR(__xludf.DUMMYFUNCTION("IF(Account!$F856&lt;&gt;"""", VALUE(REGEXREPLACE($I856, ""\,"", ""."")), """")"),"")</f>
        <v/>
      </c>
      <c r="O856" s="33" t="str">
        <f>IF(Account!$F856&lt;&gt;"", DATEVALUE(MID($A856,4,3) &amp; LEFT($A856,3) &amp; RIGHT($A856,4)) + TIMEVALUE($B856), "")</f>
        <v/>
      </c>
      <c r="P856" s="34" t="str">
        <f>IF(Account!$F856&lt;&gt;"", DATEVALUE(MID($C856,4,3) &amp; LEFT($C856,3) &amp; RIGHT($C856,4)), "")</f>
        <v/>
      </c>
      <c r="Q856" s="35" t="str">
        <f t="array" ref="Q856">IF($R856&lt;&gt;"",IFERROR(INDEX(ISIN!$B:$B,MATCH($R856,ISIN!$C:$C,0))),)</f>
        <v/>
      </c>
      <c r="R856" s="36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5" t="str">
        <f t="shared" si="1"/>
        <v/>
      </c>
      <c r="T856" s="37" t="str">
        <f t="shared" si="2"/>
        <v/>
      </c>
      <c r="U856" s="38" t="str">
        <f t="shared" si="3"/>
        <v/>
      </c>
      <c r="V856" s="32" t="str">
        <f t="shared" si="4"/>
        <v/>
      </c>
      <c r="W856" s="39" t="str">
        <f>IFERROR(__xludf.DUMMYFUNCTION(" IF(Account!$F856&lt;&gt;"""", SPLIT(Account!$F856, "" ""), """")"),"")</f>
        <v/>
      </c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</row>
    <row r="857">
      <c r="A857" s="12"/>
      <c r="B857" s="12"/>
      <c r="C857" s="12"/>
      <c r="D857" s="12"/>
      <c r="E857" s="12"/>
      <c r="F857" s="13"/>
      <c r="G857" s="291"/>
      <c r="H857" s="12"/>
      <c r="I857" s="12"/>
      <c r="J857" s="12"/>
      <c r="K857" s="12"/>
      <c r="L857" s="13"/>
      <c r="M857" s="30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2" t="str">
        <f>IFERROR(__xludf.DUMMYFUNCTION("IF(Account!$F857&lt;&gt;"""", VALUE(REGEXREPLACE($I857, ""\,"", ""."")), """")"),"")</f>
        <v/>
      </c>
      <c r="O857" s="33" t="str">
        <f>IF(Account!$F857&lt;&gt;"", DATEVALUE(MID($A857,4,3) &amp; LEFT($A857,3) &amp; RIGHT($A857,4)) + TIMEVALUE($B857), "")</f>
        <v/>
      </c>
      <c r="P857" s="34" t="str">
        <f>IF(Account!$F857&lt;&gt;"", DATEVALUE(MID($C857,4,3) &amp; LEFT($C857,3) &amp; RIGHT($C857,4)), "")</f>
        <v/>
      </c>
      <c r="Q857" s="35" t="str">
        <f t="array" ref="Q857">IF($R857&lt;&gt;"",IFERROR(INDEX(ISIN!$B:$B,MATCH($R857,ISIN!$C:$C,0))),)</f>
        <v/>
      </c>
      <c r="R857" s="36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5" t="str">
        <f t="shared" si="1"/>
        <v/>
      </c>
      <c r="T857" s="37" t="str">
        <f t="shared" si="2"/>
        <v/>
      </c>
      <c r="U857" s="38" t="str">
        <f t="shared" si="3"/>
        <v/>
      </c>
      <c r="V857" s="32" t="str">
        <f t="shared" si="4"/>
        <v/>
      </c>
      <c r="W857" s="39" t="str">
        <f>IFERROR(__xludf.DUMMYFUNCTION(" IF(Account!$F857&lt;&gt;"""", SPLIT(Account!$F857, "" ""), """")"),"")</f>
        <v/>
      </c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</row>
    <row r="858">
      <c r="A858" s="12"/>
      <c r="B858" s="12"/>
      <c r="C858" s="12"/>
      <c r="D858" s="12"/>
      <c r="E858" s="12"/>
      <c r="F858" s="13"/>
      <c r="G858" s="12"/>
      <c r="H858" s="12"/>
      <c r="I858" s="12"/>
      <c r="J858" s="12"/>
      <c r="K858" s="12"/>
      <c r="L858" s="13"/>
      <c r="M858" s="30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2" t="str">
        <f>IFERROR(__xludf.DUMMYFUNCTION("IF(Account!$F858&lt;&gt;"""", VALUE(REGEXREPLACE($I858, ""\,"", ""."")), """")"),"")</f>
        <v/>
      </c>
      <c r="O858" s="33" t="str">
        <f>IF(Account!$F858&lt;&gt;"", DATEVALUE(MID($A858,4,3) &amp; LEFT($A858,3) &amp; RIGHT($A858,4)) + TIMEVALUE($B858), "")</f>
        <v/>
      </c>
      <c r="P858" s="34" t="str">
        <f>IF(Account!$F858&lt;&gt;"", DATEVALUE(MID($C858,4,3) &amp; LEFT($C858,3) &amp; RIGHT($C858,4)), "")</f>
        <v/>
      </c>
      <c r="Q858" s="35" t="str">
        <f t="array" ref="Q858">IF($R858&lt;&gt;"",IFERROR(INDEX(ISIN!$B:$B,MATCH($R858,ISIN!$C:$C,0))),)</f>
        <v/>
      </c>
      <c r="R858" s="36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5" t="str">
        <f t="shared" si="1"/>
        <v/>
      </c>
      <c r="T858" s="37" t="str">
        <f t="shared" si="2"/>
        <v/>
      </c>
      <c r="U858" s="38" t="str">
        <f t="shared" si="3"/>
        <v/>
      </c>
      <c r="V858" s="32" t="str">
        <f t="shared" si="4"/>
        <v/>
      </c>
      <c r="W858" s="39" t="str">
        <f>IFERROR(__xludf.DUMMYFUNCTION(" IF(Account!$F858&lt;&gt;"""", SPLIT(Account!$F858, "" ""), """")"),"")</f>
        <v/>
      </c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</row>
    <row r="859">
      <c r="A859" s="12"/>
      <c r="B859" s="12"/>
      <c r="C859" s="12"/>
      <c r="D859" s="12"/>
      <c r="E859" s="12"/>
      <c r="F859" s="13"/>
      <c r="G859" s="291"/>
      <c r="H859" s="12"/>
      <c r="I859" s="12"/>
      <c r="J859" s="12"/>
      <c r="K859" s="12"/>
      <c r="L859" s="13"/>
      <c r="M859" s="30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2" t="str">
        <f>IFERROR(__xludf.DUMMYFUNCTION("IF(Account!$F859&lt;&gt;"""", VALUE(REGEXREPLACE($I859, ""\,"", ""."")), """")"),"")</f>
        <v/>
      </c>
      <c r="O859" s="33" t="str">
        <f>IF(Account!$F859&lt;&gt;"", DATEVALUE(MID($A859,4,3) &amp; LEFT($A859,3) &amp; RIGHT($A859,4)) + TIMEVALUE($B859), "")</f>
        <v/>
      </c>
      <c r="P859" s="34" t="str">
        <f>IF(Account!$F859&lt;&gt;"", DATEVALUE(MID($C859,4,3) &amp; LEFT($C859,3) &amp; RIGHT($C859,4)), "")</f>
        <v/>
      </c>
      <c r="Q859" s="35" t="str">
        <f t="array" ref="Q859">IF($R859&lt;&gt;"",IFERROR(INDEX(ISIN!$B:$B,MATCH($R859,ISIN!$C:$C,0))),)</f>
        <v/>
      </c>
      <c r="R859" s="36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5" t="str">
        <f t="shared" si="1"/>
        <v/>
      </c>
      <c r="T859" s="37" t="str">
        <f t="shared" si="2"/>
        <v/>
      </c>
      <c r="U859" s="38" t="str">
        <f t="shared" si="3"/>
        <v/>
      </c>
      <c r="V859" s="32" t="str">
        <f t="shared" si="4"/>
        <v/>
      </c>
      <c r="W859" s="39" t="str">
        <f>IFERROR(__xludf.DUMMYFUNCTION(" IF(Account!$F859&lt;&gt;"""", SPLIT(Account!$F859, "" ""), """")"),"")</f>
        <v/>
      </c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</row>
    <row r="860">
      <c r="A860" s="12"/>
      <c r="B860" s="12"/>
      <c r="C860" s="12"/>
      <c r="D860" s="12"/>
      <c r="E860" s="12"/>
      <c r="F860" s="13"/>
      <c r="G860" s="291"/>
      <c r="H860" s="12"/>
      <c r="I860" s="12"/>
      <c r="J860" s="12"/>
      <c r="K860" s="12"/>
      <c r="L860" s="13"/>
      <c r="M860" s="30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2" t="str">
        <f>IFERROR(__xludf.DUMMYFUNCTION("IF(Account!$F860&lt;&gt;"""", VALUE(REGEXREPLACE($I860, ""\,"", ""."")), """")"),"")</f>
        <v/>
      </c>
      <c r="O860" s="33" t="str">
        <f>IF(Account!$F860&lt;&gt;"", DATEVALUE(MID($A860,4,3) &amp; LEFT($A860,3) &amp; RIGHT($A860,4)) + TIMEVALUE($B860), "")</f>
        <v/>
      </c>
      <c r="P860" s="34" t="str">
        <f>IF(Account!$F860&lt;&gt;"", DATEVALUE(MID($C860,4,3) &amp; LEFT($C860,3) &amp; RIGHT($C860,4)), "")</f>
        <v/>
      </c>
      <c r="Q860" s="35" t="str">
        <f t="array" ref="Q860">IF($R860&lt;&gt;"",IFERROR(INDEX(ISIN!$B:$B,MATCH($R860,ISIN!$C:$C,0))),)</f>
        <v/>
      </c>
      <c r="R860" s="36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5" t="str">
        <f t="shared" si="1"/>
        <v/>
      </c>
      <c r="T860" s="37" t="str">
        <f t="shared" si="2"/>
        <v/>
      </c>
      <c r="U860" s="38" t="str">
        <f t="shared" si="3"/>
        <v/>
      </c>
      <c r="V860" s="32" t="str">
        <f t="shared" si="4"/>
        <v/>
      </c>
      <c r="W860" s="39" t="str">
        <f>IFERROR(__xludf.DUMMYFUNCTION(" IF(Account!$F860&lt;&gt;"""", SPLIT(Account!$F860, "" ""), """")"),"")</f>
        <v/>
      </c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</row>
    <row r="861">
      <c r="A861" s="12"/>
      <c r="B861" s="12"/>
      <c r="C861" s="12"/>
      <c r="D861" s="12"/>
      <c r="E861" s="12"/>
      <c r="F861" s="13"/>
      <c r="G861" s="291"/>
      <c r="H861" s="12"/>
      <c r="I861" s="12"/>
      <c r="J861" s="12"/>
      <c r="K861" s="12"/>
      <c r="L861" s="13"/>
      <c r="M861" s="30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2" t="str">
        <f>IFERROR(__xludf.DUMMYFUNCTION("IF(Account!$F861&lt;&gt;"""", VALUE(REGEXREPLACE($I861, ""\,"", ""."")), """")"),"")</f>
        <v/>
      </c>
      <c r="O861" s="33" t="str">
        <f>IF(Account!$F861&lt;&gt;"", DATEVALUE(MID($A861,4,3) &amp; LEFT($A861,3) &amp; RIGHT($A861,4)) + TIMEVALUE($B861), "")</f>
        <v/>
      </c>
      <c r="P861" s="34" t="str">
        <f>IF(Account!$F861&lt;&gt;"", DATEVALUE(MID($C861,4,3) &amp; LEFT($C861,3) &amp; RIGHT($C861,4)), "")</f>
        <v/>
      </c>
      <c r="Q861" s="35" t="str">
        <f t="array" ref="Q861">IF($R861&lt;&gt;"",IFERROR(INDEX(ISIN!$B:$B,MATCH($R861,ISIN!$C:$C,0))),)</f>
        <v/>
      </c>
      <c r="R861" s="36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5" t="str">
        <f t="shared" si="1"/>
        <v/>
      </c>
      <c r="T861" s="37" t="str">
        <f t="shared" si="2"/>
        <v/>
      </c>
      <c r="U861" s="38" t="str">
        <f t="shared" si="3"/>
        <v/>
      </c>
      <c r="V861" s="32" t="str">
        <f t="shared" si="4"/>
        <v/>
      </c>
      <c r="W861" s="39" t="str">
        <f>IFERROR(__xludf.DUMMYFUNCTION(" IF(Account!$F861&lt;&gt;"""", SPLIT(Account!$F861, "" ""), """")"),"")</f>
        <v/>
      </c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</row>
    <row r="862">
      <c r="A862" s="12"/>
      <c r="B862" s="12"/>
      <c r="C862" s="12"/>
      <c r="D862" s="12"/>
      <c r="E862" s="12"/>
      <c r="F862" s="13"/>
      <c r="G862" s="291"/>
      <c r="H862" s="12"/>
      <c r="I862" s="12"/>
      <c r="J862" s="12"/>
      <c r="K862" s="12"/>
      <c r="L862" s="13"/>
      <c r="M862" s="30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2" t="str">
        <f>IFERROR(__xludf.DUMMYFUNCTION("IF(Account!$F862&lt;&gt;"""", VALUE(REGEXREPLACE($I862, ""\,"", ""."")), """")"),"")</f>
        <v/>
      </c>
      <c r="O862" s="33" t="str">
        <f>IF(Account!$F862&lt;&gt;"", DATEVALUE(MID($A862,4,3) &amp; LEFT($A862,3) &amp; RIGHT($A862,4)) + TIMEVALUE($B862), "")</f>
        <v/>
      </c>
      <c r="P862" s="34" t="str">
        <f>IF(Account!$F862&lt;&gt;"", DATEVALUE(MID($C862,4,3) &amp; LEFT($C862,3) &amp; RIGHT($C862,4)), "")</f>
        <v/>
      </c>
      <c r="Q862" s="35" t="str">
        <f t="array" ref="Q862">IF($R862&lt;&gt;"",IFERROR(INDEX(ISIN!$B:$B,MATCH($R862,ISIN!$C:$C,0))),)</f>
        <v/>
      </c>
      <c r="R862" s="36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5" t="str">
        <f t="shared" si="1"/>
        <v/>
      </c>
      <c r="T862" s="37" t="str">
        <f t="shared" si="2"/>
        <v/>
      </c>
      <c r="U862" s="38" t="str">
        <f t="shared" si="3"/>
        <v/>
      </c>
      <c r="V862" s="32" t="str">
        <f t="shared" si="4"/>
        <v/>
      </c>
      <c r="W862" s="39" t="str">
        <f>IFERROR(__xludf.DUMMYFUNCTION(" IF(Account!$F862&lt;&gt;"""", SPLIT(Account!$F862, "" ""), """")"),"")</f>
        <v/>
      </c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</row>
    <row r="863">
      <c r="A863" s="12"/>
      <c r="B863" s="12"/>
      <c r="C863" s="12"/>
      <c r="D863" s="291"/>
      <c r="E863" s="291"/>
      <c r="F863" s="13"/>
      <c r="G863" s="291"/>
      <c r="H863" s="12"/>
      <c r="I863" s="12"/>
      <c r="J863" s="12"/>
      <c r="K863" s="12"/>
      <c r="L863" s="335"/>
      <c r="M863" s="30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2" t="str">
        <f>IFERROR(__xludf.DUMMYFUNCTION("IF(Account!$F863&lt;&gt;"""", VALUE(REGEXREPLACE($I863, ""\,"", ""."")), """")"),"")</f>
        <v/>
      </c>
      <c r="O863" s="33" t="str">
        <f>IF(Account!$F863&lt;&gt;"", DATEVALUE(MID($A863,4,3) &amp; LEFT($A863,3) &amp; RIGHT($A863,4)) + TIMEVALUE($B863), "")</f>
        <v/>
      </c>
      <c r="P863" s="34" t="str">
        <f>IF(Account!$F863&lt;&gt;"", DATEVALUE(MID($C863,4,3) &amp; LEFT($C863,3) &amp; RIGHT($C863,4)), "")</f>
        <v/>
      </c>
      <c r="Q863" s="35" t="str">
        <f t="array" ref="Q863">IF($R863&lt;&gt;"",IFERROR(INDEX(ISIN!$B:$B,MATCH($R863,ISIN!$C:$C,0))),)</f>
        <v/>
      </c>
      <c r="R863" s="36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5" t="str">
        <f t="shared" si="1"/>
        <v/>
      </c>
      <c r="T863" s="37" t="str">
        <f t="shared" si="2"/>
        <v/>
      </c>
      <c r="U863" s="38" t="str">
        <f t="shared" si="3"/>
        <v/>
      </c>
      <c r="V863" s="32" t="str">
        <f t="shared" si="4"/>
        <v/>
      </c>
      <c r="W863" s="39" t="str">
        <f>IFERROR(__xludf.DUMMYFUNCTION(" IF(Account!$F863&lt;&gt;"""", SPLIT(Account!$F863, "" ""), """")"),"")</f>
        <v/>
      </c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</row>
    <row r="864">
      <c r="A864" s="12"/>
      <c r="B864" s="12"/>
      <c r="C864" s="12"/>
      <c r="D864" s="291"/>
      <c r="E864" s="291"/>
      <c r="F864" s="13"/>
      <c r="G864" s="12"/>
      <c r="H864" s="12"/>
      <c r="I864" s="12"/>
      <c r="J864" s="12"/>
      <c r="K864" s="12"/>
      <c r="L864" s="335"/>
      <c r="M864" s="30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2" t="str">
        <f>IFERROR(__xludf.DUMMYFUNCTION("IF(Account!$F864&lt;&gt;"""", VALUE(REGEXREPLACE($I864, ""\,"", ""."")), """")"),"")</f>
        <v/>
      </c>
      <c r="O864" s="33" t="str">
        <f>IF(Account!$F864&lt;&gt;"", DATEVALUE(MID($A864,4,3) &amp; LEFT($A864,3) &amp; RIGHT($A864,4)) + TIMEVALUE($B864), "")</f>
        <v/>
      </c>
      <c r="P864" s="34" t="str">
        <f>IF(Account!$F864&lt;&gt;"", DATEVALUE(MID($C864,4,3) &amp; LEFT($C864,3) &amp; RIGHT($C864,4)), "")</f>
        <v/>
      </c>
      <c r="Q864" s="35" t="str">
        <f t="array" ref="Q864">IF($R864&lt;&gt;"",IFERROR(INDEX(ISIN!$B:$B,MATCH($R864,ISIN!$C:$C,0))),)</f>
        <v/>
      </c>
      <c r="R864" s="36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5" t="str">
        <f t="shared" si="1"/>
        <v/>
      </c>
      <c r="T864" s="37" t="str">
        <f t="shared" si="2"/>
        <v/>
      </c>
      <c r="U864" s="38" t="str">
        <f t="shared" si="3"/>
        <v/>
      </c>
      <c r="V864" s="32" t="str">
        <f t="shared" si="4"/>
        <v/>
      </c>
      <c r="W864" s="39" t="str">
        <f>IFERROR(__xludf.DUMMYFUNCTION(" IF(Account!$F864&lt;&gt;"""", SPLIT(Account!$F864, "" ""), """")"),"")</f>
        <v/>
      </c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</row>
    <row r="865">
      <c r="A865" s="12"/>
      <c r="B865" s="12"/>
      <c r="C865" s="12"/>
      <c r="D865" s="12"/>
      <c r="E865" s="12"/>
      <c r="F865" s="13"/>
      <c r="G865" s="291"/>
      <c r="H865" s="291"/>
      <c r="I865" s="291"/>
      <c r="J865" s="12"/>
      <c r="K865" s="12"/>
      <c r="L865" s="335"/>
      <c r="M865" s="30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2" t="str">
        <f>IFERROR(__xludf.DUMMYFUNCTION("IF(Account!$F865&lt;&gt;"""", VALUE(REGEXREPLACE($I865, ""\,"", ""."")), """")"),"")</f>
        <v/>
      </c>
      <c r="O865" s="33" t="str">
        <f>IF(Account!$F865&lt;&gt;"", DATEVALUE(MID($A865,4,3) &amp; LEFT($A865,3) &amp; RIGHT($A865,4)) + TIMEVALUE($B865), "")</f>
        <v/>
      </c>
      <c r="P865" s="34" t="str">
        <f>IF(Account!$F865&lt;&gt;"", DATEVALUE(MID($C865,4,3) &amp; LEFT($C865,3) &amp; RIGHT($C865,4)), "")</f>
        <v/>
      </c>
      <c r="Q865" s="35" t="str">
        <f t="array" ref="Q865">IF($R865&lt;&gt;"",IFERROR(INDEX(ISIN!$B:$B,MATCH($R865,ISIN!$C:$C,0))),)</f>
        <v/>
      </c>
      <c r="R865" s="36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5" t="str">
        <f t="shared" si="1"/>
        <v/>
      </c>
      <c r="T865" s="37" t="str">
        <f t="shared" si="2"/>
        <v/>
      </c>
      <c r="U865" s="38" t="str">
        <f t="shared" si="3"/>
        <v/>
      </c>
      <c r="V865" s="32" t="str">
        <f t="shared" si="4"/>
        <v/>
      </c>
      <c r="W865" s="39" t="str">
        <f>IFERROR(__xludf.DUMMYFUNCTION(" IF(Account!$F865&lt;&gt;"""", SPLIT(Account!$F865, "" ""), """")"),"")</f>
        <v/>
      </c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</row>
    <row r="866">
      <c r="A866" s="12"/>
      <c r="B866" s="12"/>
      <c r="C866" s="12"/>
      <c r="D866" s="291"/>
      <c r="E866" s="291"/>
      <c r="F866" s="13"/>
      <c r="G866" s="291"/>
      <c r="H866" s="12"/>
      <c r="I866" s="12"/>
      <c r="J866" s="12"/>
      <c r="K866" s="12"/>
      <c r="L866" s="335"/>
      <c r="M866" s="30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2" t="str">
        <f>IFERROR(__xludf.DUMMYFUNCTION("IF(Account!$F866&lt;&gt;"""", VALUE(REGEXREPLACE($I866, ""\,"", ""."")), """")"),"")</f>
        <v/>
      </c>
      <c r="O866" s="33" t="str">
        <f>IF(Account!$F866&lt;&gt;"", DATEVALUE(MID($A866,4,3) &amp; LEFT($A866,3) &amp; RIGHT($A866,4)) + TIMEVALUE($B866), "")</f>
        <v/>
      </c>
      <c r="P866" s="34" t="str">
        <f>IF(Account!$F866&lt;&gt;"", DATEVALUE(MID($C866,4,3) &amp; LEFT($C866,3) &amp; RIGHT($C866,4)), "")</f>
        <v/>
      </c>
      <c r="Q866" s="35" t="str">
        <f t="array" ref="Q866">IF($R866&lt;&gt;"",IFERROR(INDEX(ISIN!$B:$B,MATCH($R866,ISIN!$C:$C,0))),)</f>
        <v/>
      </c>
      <c r="R866" s="36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5" t="str">
        <f t="shared" si="1"/>
        <v/>
      </c>
      <c r="T866" s="37" t="str">
        <f t="shared" si="2"/>
        <v/>
      </c>
      <c r="U866" s="38" t="str">
        <f t="shared" si="3"/>
        <v/>
      </c>
      <c r="V866" s="32" t="str">
        <f t="shared" si="4"/>
        <v/>
      </c>
      <c r="W866" s="39" t="str">
        <f>IFERROR(__xludf.DUMMYFUNCTION(" IF(Account!$F866&lt;&gt;"""", SPLIT(Account!$F866, "" ""), """")"),"")</f>
        <v/>
      </c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</row>
    <row r="867">
      <c r="A867" s="12"/>
      <c r="B867" s="12"/>
      <c r="C867" s="12"/>
      <c r="D867" s="12"/>
      <c r="E867" s="12"/>
      <c r="F867" s="13"/>
      <c r="G867" s="291"/>
      <c r="H867" s="12"/>
      <c r="I867" s="12"/>
      <c r="J867" s="12"/>
      <c r="K867" s="12"/>
      <c r="L867" s="335"/>
      <c r="M867" s="30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2" t="str">
        <f>IFERROR(__xludf.DUMMYFUNCTION("IF(Account!$F867&lt;&gt;"""", VALUE(REGEXREPLACE($I867, ""\,"", ""."")), """")"),"")</f>
        <v/>
      </c>
      <c r="O867" s="33" t="str">
        <f>IF(Account!$F867&lt;&gt;"", DATEVALUE(MID($A867,4,3) &amp; LEFT($A867,3) &amp; RIGHT($A867,4)) + TIMEVALUE($B867), "")</f>
        <v/>
      </c>
      <c r="P867" s="34" t="str">
        <f>IF(Account!$F867&lt;&gt;"", DATEVALUE(MID($C867,4,3) &amp; LEFT($C867,3) &amp; RIGHT($C867,4)), "")</f>
        <v/>
      </c>
      <c r="Q867" s="35" t="str">
        <f t="array" ref="Q867">IF($R867&lt;&gt;"",IFERROR(INDEX(ISIN!$B:$B,MATCH($R867,ISIN!$C:$C,0))),)</f>
        <v/>
      </c>
      <c r="R867" s="36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5" t="str">
        <f t="shared" si="1"/>
        <v/>
      </c>
      <c r="T867" s="37" t="str">
        <f t="shared" si="2"/>
        <v/>
      </c>
      <c r="U867" s="38" t="str">
        <f t="shared" si="3"/>
        <v/>
      </c>
      <c r="V867" s="32" t="str">
        <f t="shared" si="4"/>
        <v/>
      </c>
      <c r="W867" s="39" t="str">
        <f>IFERROR(__xludf.DUMMYFUNCTION(" IF(Account!$F867&lt;&gt;"""", SPLIT(Account!$F867, "" ""), """")"),"")</f>
        <v/>
      </c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</row>
    <row r="868">
      <c r="A868" s="12"/>
      <c r="B868" s="12"/>
      <c r="C868" s="12"/>
      <c r="D868" s="12"/>
      <c r="E868" s="12"/>
      <c r="F868" s="13"/>
      <c r="G868" s="291"/>
      <c r="H868" s="12"/>
      <c r="I868" s="12"/>
      <c r="J868" s="12"/>
      <c r="K868" s="12"/>
      <c r="L868" s="335"/>
      <c r="M868" s="30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2" t="str">
        <f>IFERROR(__xludf.DUMMYFUNCTION("IF(Account!$F868&lt;&gt;"""", VALUE(REGEXREPLACE($I868, ""\,"", ""."")), """")"),"")</f>
        <v/>
      </c>
      <c r="O868" s="33" t="str">
        <f>IF(Account!$F868&lt;&gt;"", DATEVALUE(MID($A868,4,3) &amp; LEFT($A868,3) &amp; RIGHT($A868,4)) + TIMEVALUE($B868), "")</f>
        <v/>
      </c>
      <c r="P868" s="34" t="str">
        <f>IF(Account!$F868&lt;&gt;"", DATEVALUE(MID($C868,4,3) &amp; LEFT($C868,3) &amp; RIGHT($C868,4)), "")</f>
        <v/>
      </c>
      <c r="Q868" s="35" t="str">
        <f t="array" ref="Q868">IF($R868&lt;&gt;"",IFERROR(INDEX(ISIN!$B:$B,MATCH($R868,ISIN!$C:$C,0))),)</f>
        <v/>
      </c>
      <c r="R868" s="36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5" t="str">
        <f t="shared" si="1"/>
        <v/>
      </c>
      <c r="T868" s="37" t="str">
        <f t="shared" si="2"/>
        <v/>
      </c>
      <c r="U868" s="38" t="str">
        <f t="shared" si="3"/>
        <v/>
      </c>
      <c r="V868" s="32" t="str">
        <f t="shared" si="4"/>
        <v/>
      </c>
      <c r="W868" s="39" t="str">
        <f>IFERROR(__xludf.DUMMYFUNCTION(" IF(Account!$F868&lt;&gt;"""", SPLIT(Account!$F868, "" ""), """")"),"")</f>
        <v/>
      </c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</row>
    <row r="869">
      <c r="A869" s="12"/>
      <c r="B869" s="12"/>
      <c r="C869" s="12"/>
      <c r="D869" s="291"/>
      <c r="E869" s="291"/>
      <c r="F869" s="13"/>
      <c r="G869" s="291"/>
      <c r="H869" s="12"/>
      <c r="I869" s="12"/>
      <c r="J869" s="12"/>
      <c r="K869" s="12"/>
      <c r="L869" s="335"/>
      <c r="M869" s="30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2" t="str">
        <f>IFERROR(__xludf.DUMMYFUNCTION("IF(Account!$F869&lt;&gt;"""", VALUE(REGEXREPLACE($I869, ""\,"", ""."")), """")"),"")</f>
        <v/>
      </c>
      <c r="O869" s="33" t="str">
        <f>IF(Account!$F869&lt;&gt;"", DATEVALUE(MID($A869,4,3) &amp; LEFT($A869,3) &amp; RIGHT($A869,4)) + TIMEVALUE($B869), "")</f>
        <v/>
      </c>
      <c r="P869" s="34" t="str">
        <f>IF(Account!$F869&lt;&gt;"", DATEVALUE(MID($C869,4,3) &amp; LEFT($C869,3) &amp; RIGHT($C869,4)), "")</f>
        <v/>
      </c>
      <c r="Q869" s="35" t="str">
        <f t="array" ref="Q869">IF($R869&lt;&gt;"",IFERROR(INDEX(ISIN!$B:$B,MATCH($R869,ISIN!$C:$C,0))),)</f>
        <v/>
      </c>
      <c r="R869" s="36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5" t="str">
        <f t="shared" si="1"/>
        <v/>
      </c>
      <c r="T869" s="37" t="str">
        <f t="shared" si="2"/>
        <v/>
      </c>
      <c r="U869" s="38" t="str">
        <f t="shared" si="3"/>
        <v/>
      </c>
      <c r="V869" s="32" t="str">
        <f t="shared" si="4"/>
        <v/>
      </c>
      <c r="W869" s="39" t="str">
        <f>IFERROR(__xludf.DUMMYFUNCTION(" IF(Account!$F869&lt;&gt;"""", SPLIT(Account!$F869, "" ""), """")"),"")</f>
        <v/>
      </c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</row>
    <row r="870">
      <c r="A870" s="12"/>
      <c r="B870" s="12"/>
      <c r="C870" s="12"/>
      <c r="D870" s="12"/>
      <c r="E870" s="12"/>
      <c r="F870" s="13"/>
      <c r="G870" s="291"/>
      <c r="H870" s="12"/>
      <c r="I870" s="12"/>
      <c r="J870" s="12"/>
      <c r="K870" s="12"/>
      <c r="L870" s="13"/>
      <c r="M870" s="30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2" t="str">
        <f>IFERROR(__xludf.DUMMYFUNCTION("IF(Account!$F870&lt;&gt;"""", VALUE(REGEXREPLACE($I870, ""\,"", ""."")), """")"),"")</f>
        <v/>
      </c>
      <c r="O870" s="33" t="str">
        <f>IF(Account!$F870&lt;&gt;"", DATEVALUE(MID($A870,4,3) &amp; LEFT($A870,3) &amp; RIGHT($A870,4)) + TIMEVALUE($B870), "")</f>
        <v/>
      </c>
      <c r="P870" s="34" t="str">
        <f>IF(Account!$F870&lt;&gt;"", DATEVALUE(MID($C870,4,3) &amp; LEFT($C870,3) &amp; RIGHT($C870,4)), "")</f>
        <v/>
      </c>
      <c r="Q870" s="35" t="str">
        <f t="array" ref="Q870">IF($R870&lt;&gt;"",IFERROR(INDEX(ISIN!$B:$B,MATCH($R870,ISIN!$C:$C,0))),)</f>
        <v/>
      </c>
      <c r="R870" s="36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5" t="str">
        <f t="shared" si="1"/>
        <v/>
      </c>
      <c r="T870" s="37" t="str">
        <f t="shared" si="2"/>
        <v/>
      </c>
      <c r="U870" s="38" t="str">
        <f t="shared" si="3"/>
        <v/>
      </c>
      <c r="V870" s="32" t="str">
        <f t="shared" si="4"/>
        <v/>
      </c>
      <c r="W870" s="39" t="str">
        <f>IFERROR(__xludf.DUMMYFUNCTION(" IF(Account!$F870&lt;&gt;"""", SPLIT(Account!$F870, "" ""), """")"),"")</f>
        <v/>
      </c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</row>
    <row r="871">
      <c r="A871" s="12"/>
      <c r="B871" s="12"/>
      <c r="C871" s="12"/>
      <c r="D871" s="12"/>
      <c r="E871" s="12"/>
      <c r="F871" s="13"/>
      <c r="G871" s="12"/>
      <c r="H871" s="12"/>
      <c r="I871" s="12"/>
      <c r="J871" s="12"/>
      <c r="K871" s="12"/>
      <c r="L871" s="13"/>
      <c r="M871" s="30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2" t="str">
        <f>IFERROR(__xludf.DUMMYFUNCTION("IF(Account!$F871&lt;&gt;"""", VALUE(REGEXREPLACE($I871, ""\,"", ""."")), """")"),"")</f>
        <v/>
      </c>
      <c r="O871" s="33" t="str">
        <f>IF(Account!$F871&lt;&gt;"", DATEVALUE(MID($A871,4,3) &amp; LEFT($A871,3) &amp; RIGHT($A871,4)) + TIMEVALUE($B871), "")</f>
        <v/>
      </c>
      <c r="P871" s="34" t="str">
        <f>IF(Account!$F871&lt;&gt;"", DATEVALUE(MID($C871,4,3) &amp; LEFT($C871,3) &amp; RIGHT($C871,4)), "")</f>
        <v/>
      </c>
      <c r="Q871" s="35" t="str">
        <f t="array" ref="Q871">IF($R871&lt;&gt;"",IFERROR(INDEX(ISIN!$B:$B,MATCH($R871,ISIN!$C:$C,0))),)</f>
        <v/>
      </c>
      <c r="R871" s="36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5" t="str">
        <f t="shared" si="1"/>
        <v/>
      </c>
      <c r="T871" s="37" t="str">
        <f t="shared" si="2"/>
        <v/>
      </c>
      <c r="U871" s="38" t="str">
        <f t="shared" si="3"/>
        <v/>
      </c>
      <c r="V871" s="32" t="str">
        <f t="shared" si="4"/>
        <v/>
      </c>
      <c r="W871" s="39" t="str">
        <f>IFERROR(__xludf.DUMMYFUNCTION(" IF(Account!$F871&lt;&gt;"""", SPLIT(Account!$F871, "" ""), """")"),"")</f>
        <v/>
      </c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</row>
    <row r="872">
      <c r="A872" s="12"/>
      <c r="B872" s="12"/>
      <c r="C872" s="12"/>
      <c r="D872" s="12"/>
      <c r="E872" s="12"/>
      <c r="F872" s="13"/>
      <c r="G872" s="291"/>
      <c r="H872" s="12"/>
      <c r="I872" s="12"/>
      <c r="J872" s="12"/>
      <c r="K872" s="12"/>
      <c r="L872" s="13"/>
      <c r="M872" s="30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2" t="str">
        <f>IFERROR(__xludf.DUMMYFUNCTION("IF(Account!$F872&lt;&gt;"""", VALUE(REGEXREPLACE($I872, ""\,"", ""."")), """")"),"")</f>
        <v/>
      </c>
      <c r="O872" s="33" t="str">
        <f>IF(Account!$F872&lt;&gt;"", DATEVALUE(MID($A872,4,3) &amp; LEFT($A872,3) &amp; RIGHT($A872,4)) + TIMEVALUE($B872), "")</f>
        <v/>
      </c>
      <c r="P872" s="34" t="str">
        <f>IF(Account!$F872&lt;&gt;"", DATEVALUE(MID($C872,4,3) &amp; LEFT($C872,3) &amp; RIGHT($C872,4)), "")</f>
        <v/>
      </c>
      <c r="Q872" s="35" t="str">
        <f t="array" ref="Q872">IF($R872&lt;&gt;"",IFERROR(INDEX(ISIN!$B:$B,MATCH($R872,ISIN!$C:$C,0))),)</f>
        <v/>
      </c>
      <c r="R872" s="36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5" t="str">
        <f t="shared" si="1"/>
        <v/>
      </c>
      <c r="T872" s="37" t="str">
        <f t="shared" si="2"/>
        <v/>
      </c>
      <c r="U872" s="38" t="str">
        <f t="shared" si="3"/>
        <v/>
      </c>
      <c r="V872" s="32" t="str">
        <f t="shared" si="4"/>
        <v/>
      </c>
      <c r="W872" s="39" t="str">
        <f>IFERROR(__xludf.DUMMYFUNCTION(" IF(Account!$F872&lt;&gt;"""", SPLIT(Account!$F872, "" ""), """")"),"")</f>
        <v/>
      </c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</row>
    <row r="873">
      <c r="A873" s="12"/>
      <c r="B873" s="12"/>
      <c r="C873" s="12"/>
      <c r="D873" s="12"/>
      <c r="E873" s="12"/>
      <c r="F873" s="13"/>
      <c r="G873" s="291"/>
      <c r="H873" s="12"/>
      <c r="I873" s="12"/>
      <c r="J873" s="12"/>
      <c r="K873" s="12"/>
      <c r="L873" s="13"/>
      <c r="M873" s="30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2" t="str">
        <f>IFERROR(__xludf.DUMMYFUNCTION("IF(Account!$F873&lt;&gt;"""", VALUE(REGEXREPLACE($I873, ""\,"", ""."")), """")"),"")</f>
        <v/>
      </c>
      <c r="O873" s="33" t="str">
        <f>IF(Account!$F873&lt;&gt;"", DATEVALUE(MID($A873,4,3) &amp; LEFT($A873,3) &amp; RIGHT($A873,4)) + TIMEVALUE($B873), "")</f>
        <v/>
      </c>
      <c r="P873" s="34" t="str">
        <f>IF(Account!$F873&lt;&gt;"", DATEVALUE(MID($C873,4,3) &amp; LEFT($C873,3) &amp; RIGHT($C873,4)), "")</f>
        <v/>
      </c>
      <c r="Q873" s="35" t="str">
        <f t="array" ref="Q873">IF($R873&lt;&gt;"",IFERROR(INDEX(ISIN!$B:$B,MATCH($R873,ISIN!$C:$C,0))),)</f>
        <v/>
      </c>
      <c r="R873" s="36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5" t="str">
        <f t="shared" si="1"/>
        <v/>
      </c>
      <c r="T873" s="37" t="str">
        <f t="shared" si="2"/>
        <v/>
      </c>
      <c r="U873" s="38" t="str">
        <f t="shared" si="3"/>
        <v/>
      </c>
      <c r="V873" s="32" t="str">
        <f t="shared" si="4"/>
        <v/>
      </c>
      <c r="W873" s="39" t="str">
        <f>IFERROR(__xludf.DUMMYFUNCTION(" IF(Account!$F873&lt;&gt;"""", SPLIT(Account!$F873, "" ""), """")"),"")</f>
        <v/>
      </c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</row>
    <row r="874">
      <c r="A874" s="12"/>
      <c r="B874" s="12"/>
      <c r="C874" s="12"/>
      <c r="D874" s="12"/>
      <c r="E874" s="12"/>
      <c r="F874" s="13"/>
      <c r="G874" s="291"/>
      <c r="H874" s="12"/>
      <c r="I874" s="12"/>
      <c r="J874" s="12"/>
      <c r="K874" s="12"/>
      <c r="L874" s="13"/>
      <c r="M874" s="30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2" t="str">
        <f>IFERROR(__xludf.DUMMYFUNCTION("IF(Account!$F874&lt;&gt;"""", VALUE(REGEXREPLACE($I874, ""\,"", ""."")), """")"),"")</f>
        <v/>
      </c>
      <c r="O874" s="33" t="str">
        <f>IF(Account!$F874&lt;&gt;"", DATEVALUE(MID($A874,4,3) &amp; LEFT($A874,3) &amp; RIGHT($A874,4)) + TIMEVALUE($B874), "")</f>
        <v/>
      </c>
      <c r="P874" s="34" t="str">
        <f>IF(Account!$F874&lt;&gt;"", DATEVALUE(MID($C874,4,3) &amp; LEFT($C874,3) &amp; RIGHT($C874,4)), "")</f>
        <v/>
      </c>
      <c r="Q874" s="35" t="str">
        <f t="array" ref="Q874">IF($R874&lt;&gt;"",IFERROR(INDEX(ISIN!$B:$B,MATCH($R874,ISIN!$C:$C,0))),)</f>
        <v/>
      </c>
      <c r="R874" s="36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5" t="str">
        <f t="shared" si="1"/>
        <v/>
      </c>
      <c r="T874" s="37" t="str">
        <f t="shared" si="2"/>
        <v/>
      </c>
      <c r="U874" s="38" t="str">
        <f t="shared" si="3"/>
        <v/>
      </c>
      <c r="V874" s="32" t="str">
        <f t="shared" si="4"/>
        <v/>
      </c>
      <c r="W874" s="39" t="str">
        <f>IFERROR(__xludf.DUMMYFUNCTION(" IF(Account!$F874&lt;&gt;"""", SPLIT(Account!$F874, "" ""), """")"),"")</f>
        <v/>
      </c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</row>
    <row r="875">
      <c r="A875" s="12"/>
      <c r="B875" s="12"/>
      <c r="C875" s="12"/>
      <c r="D875" s="12"/>
      <c r="E875" s="12"/>
      <c r="F875" s="13"/>
      <c r="G875" s="291"/>
      <c r="H875" s="12"/>
      <c r="I875" s="12"/>
      <c r="J875" s="12"/>
      <c r="K875" s="12"/>
      <c r="L875" s="13"/>
      <c r="M875" s="30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2" t="str">
        <f>IFERROR(__xludf.DUMMYFUNCTION("IF(Account!$F875&lt;&gt;"""", VALUE(REGEXREPLACE($I875, ""\,"", ""."")), """")"),"")</f>
        <v/>
      </c>
      <c r="O875" s="33" t="str">
        <f>IF(Account!$F875&lt;&gt;"", DATEVALUE(MID($A875,4,3) &amp; LEFT($A875,3) &amp; RIGHT($A875,4)) + TIMEVALUE($B875), "")</f>
        <v/>
      </c>
      <c r="P875" s="34" t="str">
        <f>IF(Account!$F875&lt;&gt;"", DATEVALUE(MID($C875,4,3) &amp; LEFT($C875,3) &amp; RIGHT($C875,4)), "")</f>
        <v/>
      </c>
      <c r="Q875" s="35" t="str">
        <f t="array" ref="Q875">IF($R875&lt;&gt;"",IFERROR(INDEX(ISIN!$B:$B,MATCH($R875,ISIN!$C:$C,0))),)</f>
        <v/>
      </c>
      <c r="R875" s="36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5" t="str">
        <f t="shared" si="1"/>
        <v/>
      </c>
      <c r="T875" s="37" t="str">
        <f t="shared" si="2"/>
        <v/>
      </c>
      <c r="U875" s="38" t="str">
        <f t="shared" si="3"/>
        <v/>
      </c>
      <c r="V875" s="32" t="str">
        <f t="shared" si="4"/>
        <v/>
      </c>
      <c r="W875" s="39" t="str">
        <f>IFERROR(__xludf.DUMMYFUNCTION(" IF(Account!$F875&lt;&gt;"""", SPLIT(Account!$F875, "" ""), """")"),"")</f>
        <v/>
      </c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</row>
    <row r="876">
      <c r="A876" s="12"/>
      <c r="B876" s="12"/>
      <c r="C876" s="12"/>
      <c r="D876" s="12"/>
      <c r="E876" s="12"/>
      <c r="F876" s="13"/>
      <c r="G876" s="12"/>
      <c r="H876" s="12"/>
      <c r="I876" s="12"/>
      <c r="J876" s="12"/>
      <c r="K876" s="12"/>
      <c r="L876" s="13"/>
      <c r="M876" s="30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2" t="str">
        <f>IFERROR(__xludf.DUMMYFUNCTION("IF(Account!$F876&lt;&gt;"""", VALUE(REGEXREPLACE($I876, ""\,"", ""."")), """")"),"")</f>
        <v/>
      </c>
      <c r="O876" s="33" t="str">
        <f>IF(Account!$F876&lt;&gt;"", DATEVALUE(MID($A876,4,3) &amp; LEFT($A876,3) &amp; RIGHT($A876,4)) + TIMEVALUE($B876), "")</f>
        <v/>
      </c>
      <c r="P876" s="34" t="str">
        <f>IF(Account!$F876&lt;&gt;"", DATEVALUE(MID($C876,4,3) &amp; LEFT($C876,3) &amp; RIGHT($C876,4)), "")</f>
        <v/>
      </c>
      <c r="Q876" s="35" t="str">
        <f t="array" ref="Q876">IF($R876&lt;&gt;"",IFERROR(INDEX(ISIN!$B:$B,MATCH($R876,ISIN!$C:$C,0))),)</f>
        <v/>
      </c>
      <c r="R876" s="36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5" t="str">
        <f t="shared" si="1"/>
        <v/>
      </c>
      <c r="T876" s="37" t="str">
        <f t="shared" si="2"/>
        <v/>
      </c>
      <c r="U876" s="38" t="str">
        <f t="shared" si="3"/>
        <v/>
      </c>
      <c r="V876" s="32" t="str">
        <f t="shared" si="4"/>
        <v/>
      </c>
      <c r="W876" s="39" t="str">
        <f>IFERROR(__xludf.DUMMYFUNCTION(" IF(Account!$F876&lt;&gt;"""", SPLIT(Account!$F876, "" ""), """")"),"")</f>
        <v/>
      </c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</row>
    <row r="877">
      <c r="A877" s="12"/>
      <c r="B877" s="12"/>
      <c r="C877" s="12"/>
      <c r="D877" s="12"/>
      <c r="E877" s="12"/>
      <c r="F877" s="13"/>
      <c r="G877" s="291"/>
      <c r="H877" s="12"/>
      <c r="I877" s="12"/>
      <c r="J877" s="12"/>
      <c r="K877" s="12"/>
      <c r="L877" s="13"/>
      <c r="M877" s="30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2" t="str">
        <f>IFERROR(__xludf.DUMMYFUNCTION("IF(Account!$F877&lt;&gt;"""", VALUE(REGEXREPLACE($I877, ""\,"", ""."")), """")"),"")</f>
        <v/>
      </c>
      <c r="O877" s="33" t="str">
        <f>IF(Account!$F877&lt;&gt;"", DATEVALUE(MID($A877,4,3) &amp; LEFT($A877,3) &amp; RIGHT($A877,4)) + TIMEVALUE($B877), "")</f>
        <v/>
      </c>
      <c r="P877" s="34" t="str">
        <f>IF(Account!$F877&lt;&gt;"", DATEVALUE(MID($C877,4,3) &amp; LEFT($C877,3) &amp; RIGHT($C877,4)), "")</f>
        <v/>
      </c>
      <c r="Q877" s="35" t="str">
        <f t="array" ref="Q877">IF($R877&lt;&gt;"",IFERROR(INDEX(ISIN!$B:$B,MATCH($R877,ISIN!$C:$C,0))),)</f>
        <v/>
      </c>
      <c r="R877" s="36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5" t="str">
        <f t="shared" si="1"/>
        <v/>
      </c>
      <c r="T877" s="37" t="str">
        <f t="shared" si="2"/>
        <v/>
      </c>
      <c r="U877" s="38" t="str">
        <f t="shared" si="3"/>
        <v/>
      </c>
      <c r="V877" s="32" t="str">
        <f t="shared" si="4"/>
        <v/>
      </c>
      <c r="W877" s="39" t="str">
        <f>IFERROR(__xludf.DUMMYFUNCTION(" IF(Account!$F877&lt;&gt;"""", SPLIT(Account!$F877, "" ""), """")"),"")</f>
        <v/>
      </c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</row>
    <row r="878">
      <c r="A878" s="12"/>
      <c r="B878" s="12"/>
      <c r="C878" s="12"/>
      <c r="D878" s="12"/>
      <c r="E878" s="12"/>
      <c r="F878" s="13"/>
      <c r="G878" s="291"/>
      <c r="H878" s="12"/>
      <c r="I878" s="12"/>
      <c r="J878" s="12"/>
      <c r="K878" s="12"/>
      <c r="L878" s="13"/>
      <c r="M878" s="30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2" t="str">
        <f>IFERROR(__xludf.DUMMYFUNCTION("IF(Account!$F878&lt;&gt;"""", VALUE(REGEXREPLACE($I878, ""\,"", ""."")), """")"),"")</f>
        <v/>
      </c>
      <c r="O878" s="33" t="str">
        <f>IF(Account!$F878&lt;&gt;"", DATEVALUE(MID($A878,4,3) &amp; LEFT($A878,3) &amp; RIGHT($A878,4)) + TIMEVALUE($B878), "")</f>
        <v/>
      </c>
      <c r="P878" s="34" t="str">
        <f>IF(Account!$F878&lt;&gt;"", DATEVALUE(MID($C878,4,3) &amp; LEFT($C878,3) &amp; RIGHT($C878,4)), "")</f>
        <v/>
      </c>
      <c r="Q878" s="35" t="str">
        <f t="array" ref="Q878">IF($R878&lt;&gt;"",IFERROR(INDEX(ISIN!$B:$B,MATCH($R878,ISIN!$C:$C,0))),)</f>
        <v/>
      </c>
      <c r="R878" s="36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5" t="str">
        <f t="shared" si="1"/>
        <v/>
      </c>
      <c r="T878" s="37" t="str">
        <f t="shared" si="2"/>
        <v/>
      </c>
      <c r="U878" s="38" t="str">
        <f t="shared" si="3"/>
        <v/>
      </c>
      <c r="V878" s="32" t="str">
        <f t="shared" si="4"/>
        <v/>
      </c>
      <c r="W878" s="39" t="str">
        <f>IFERROR(__xludf.DUMMYFUNCTION(" IF(Account!$F878&lt;&gt;"""", SPLIT(Account!$F878, "" ""), """")"),"")</f>
        <v/>
      </c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</row>
    <row r="879">
      <c r="A879" s="12"/>
      <c r="B879" s="12"/>
      <c r="C879" s="12"/>
      <c r="D879" s="291"/>
      <c r="E879" s="291"/>
      <c r="F879" s="13"/>
      <c r="G879" s="291"/>
      <c r="H879" s="12"/>
      <c r="I879" s="12"/>
      <c r="J879" s="12"/>
      <c r="K879" s="12"/>
      <c r="L879" s="335"/>
      <c r="M879" s="30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2" t="str">
        <f>IFERROR(__xludf.DUMMYFUNCTION("IF(Account!$F879&lt;&gt;"""", VALUE(REGEXREPLACE($I879, ""\,"", ""."")), """")"),"")</f>
        <v/>
      </c>
      <c r="O879" s="33" t="str">
        <f>IF(Account!$F879&lt;&gt;"", DATEVALUE(MID($A879,4,3) &amp; LEFT($A879,3) &amp; RIGHT($A879,4)) + TIMEVALUE($B879), "")</f>
        <v/>
      </c>
      <c r="P879" s="34" t="str">
        <f>IF(Account!$F879&lt;&gt;"", DATEVALUE(MID($C879,4,3) &amp; LEFT($C879,3) &amp; RIGHT($C879,4)), "")</f>
        <v/>
      </c>
      <c r="Q879" s="35" t="str">
        <f t="array" ref="Q879">IF($R879&lt;&gt;"",IFERROR(INDEX(ISIN!$B:$B,MATCH($R879,ISIN!$C:$C,0))),)</f>
        <v/>
      </c>
      <c r="R879" s="36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5" t="str">
        <f t="shared" si="1"/>
        <v/>
      </c>
      <c r="T879" s="37" t="str">
        <f t="shared" si="2"/>
        <v/>
      </c>
      <c r="U879" s="38" t="str">
        <f t="shared" si="3"/>
        <v/>
      </c>
      <c r="V879" s="32" t="str">
        <f t="shared" si="4"/>
        <v/>
      </c>
      <c r="W879" s="39" t="str">
        <f>IFERROR(__xludf.DUMMYFUNCTION(" IF(Account!$F879&lt;&gt;"""", SPLIT(Account!$F879, "" ""), """")"),"")</f>
        <v/>
      </c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</row>
    <row r="880">
      <c r="A880" s="12"/>
      <c r="B880" s="12"/>
      <c r="C880" s="12"/>
      <c r="D880" s="291"/>
      <c r="E880" s="291"/>
      <c r="F880" s="13"/>
      <c r="G880" s="291"/>
      <c r="H880" s="12"/>
      <c r="I880" s="12"/>
      <c r="J880" s="12"/>
      <c r="K880" s="12"/>
      <c r="L880" s="335"/>
      <c r="M880" s="30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2" t="str">
        <f>IFERROR(__xludf.DUMMYFUNCTION("IF(Account!$F880&lt;&gt;"""", VALUE(REGEXREPLACE($I880, ""\,"", ""."")), """")"),"")</f>
        <v/>
      </c>
      <c r="O880" s="33" t="str">
        <f>IF(Account!$F880&lt;&gt;"", DATEVALUE(MID($A880,4,3) &amp; LEFT($A880,3) &amp; RIGHT($A880,4)) + TIMEVALUE($B880), "")</f>
        <v/>
      </c>
      <c r="P880" s="34" t="str">
        <f>IF(Account!$F880&lt;&gt;"", DATEVALUE(MID($C880,4,3) &amp; LEFT($C880,3) &amp; RIGHT($C880,4)), "")</f>
        <v/>
      </c>
      <c r="Q880" s="35" t="str">
        <f t="array" ref="Q880">IF($R880&lt;&gt;"",IFERROR(INDEX(ISIN!$B:$B,MATCH($R880,ISIN!$C:$C,0))),)</f>
        <v/>
      </c>
      <c r="R880" s="36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5" t="str">
        <f t="shared" si="1"/>
        <v/>
      </c>
      <c r="T880" s="37" t="str">
        <f t="shared" si="2"/>
        <v/>
      </c>
      <c r="U880" s="38" t="str">
        <f t="shared" si="3"/>
        <v/>
      </c>
      <c r="V880" s="32" t="str">
        <f t="shared" si="4"/>
        <v/>
      </c>
      <c r="W880" s="39" t="str">
        <f>IFERROR(__xludf.DUMMYFUNCTION(" IF(Account!$F880&lt;&gt;"""", SPLIT(Account!$F880, "" ""), """")"),"")</f>
        <v/>
      </c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</row>
    <row r="881">
      <c r="A881" s="12"/>
      <c r="B881" s="12"/>
      <c r="C881" s="12"/>
      <c r="D881" s="291"/>
      <c r="E881" s="291"/>
      <c r="F881" s="13"/>
      <c r="G881" s="291"/>
      <c r="H881" s="12"/>
      <c r="I881" s="12"/>
      <c r="J881" s="12"/>
      <c r="K881" s="12"/>
      <c r="L881" s="335"/>
      <c r="M881" s="30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2" t="str">
        <f>IFERROR(__xludf.DUMMYFUNCTION("IF(Account!$F881&lt;&gt;"""", VALUE(REGEXREPLACE($I881, ""\,"", ""."")), """")"),"")</f>
        <v/>
      </c>
      <c r="O881" s="33" t="str">
        <f>IF(Account!$F881&lt;&gt;"", DATEVALUE(MID($A881,4,3) &amp; LEFT($A881,3) &amp; RIGHT($A881,4)) + TIMEVALUE($B881), "")</f>
        <v/>
      </c>
      <c r="P881" s="34" t="str">
        <f>IF(Account!$F881&lt;&gt;"", DATEVALUE(MID($C881,4,3) &amp; LEFT($C881,3) &amp; RIGHT($C881,4)), "")</f>
        <v/>
      </c>
      <c r="Q881" s="35" t="str">
        <f t="array" ref="Q881">IF($R881&lt;&gt;"",IFERROR(INDEX(ISIN!$B:$B,MATCH($R881,ISIN!$C:$C,0))),)</f>
        <v/>
      </c>
      <c r="R881" s="36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5" t="str">
        <f t="shared" si="1"/>
        <v/>
      </c>
      <c r="T881" s="37" t="str">
        <f t="shared" si="2"/>
        <v/>
      </c>
      <c r="U881" s="38" t="str">
        <f t="shared" si="3"/>
        <v/>
      </c>
      <c r="V881" s="32" t="str">
        <f t="shared" si="4"/>
        <v/>
      </c>
      <c r="W881" s="39" t="str">
        <f>IFERROR(__xludf.DUMMYFUNCTION(" IF(Account!$F881&lt;&gt;"""", SPLIT(Account!$F881, "" ""), """")"),"")</f>
        <v/>
      </c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</row>
    <row r="882">
      <c r="A882" s="12"/>
      <c r="B882" s="12"/>
      <c r="C882" s="12"/>
      <c r="D882" s="291"/>
      <c r="E882" s="291"/>
      <c r="F882" s="13"/>
      <c r="G882" s="12"/>
      <c r="H882" s="12"/>
      <c r="I882" s="12"/>
      <c r="J882" s="12"/>
      <c r="K882" s="12"/>
      <c r="L882" s="335"/>
      <c r="M882" s="30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2" t="str">
        <f>IFERROR(__xludf.DUMMYFUNCTION("IF(Account!$F882&lt;&gt;"""", VALUE(REGEXREPLACE($I882, ""\,"", ""."")), """")"),"")</f>
        <v/>
      </c>
      <c r="O882" s="33" t="str">
        <f>IF(Account!$F882&lt;&gt;"", DATEVALUE(MID($A882,4,3) &amp; LEFT($A882,3) &amp; RIGHT($A882,4)) + TIMEVALUE($B882), "")</f>
        <v/>
      </c>
      <c r="P882" s="34" t="str">
        <f>IF(Account!$F882&lt;&gt;"", DATEVALUE(MID($C882,4,3) &amp; LEFT($C882,3) &amp; RIGHT($C882,4)), "")</f>
        <v/>
      </c>
      <c r="Q882" s="35" t="str">
        <f t="array" ref="Q882">IF($R882&lt;&gt;"",IFERROR(INDEX(ISIN!$B:$B,MATCH($R882,ISIN!$C:$C,0))),)</f>
        <v/>
      </c>
      <c r="R882" s="36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5" t="str">
        <f t="shared" si="1"/>
        <v/>
      </c>
      <c r="T882" s="37" t="str">
        <f t="shared" si="2"/>
        <v/>
      </c>
      <c r="U882" s="38" t="str">
        <f t="shared" si="3"/>
        <v/>
      </c>
      <c r="V882" s="32" t="str">
        <f t="shared" si="4"/>
        <v/>
      </c>
      <c r="W882" s="39" t="str">
        <f>IFERROR(__xludf.DUMMYFUNCTION(" IF(Account!$F882&lt;&gt;"""", SPLIT(Account!$F882, "" ""), """")"),"")</f>
        <v/>
      </c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</row>
    <row r="883">
      <c r="A883" s="12"/>
      <c r="B883" s="12"/>
      <c r="C883" s="12"/>
      <c r="D883" s="12"/>
      <c r="E883" s="12"/>
      <c r="F883" s="13"/>
      <c r="G883" s="291"/>
      <c r="H883" s="12"/>
      <c r="I883" s="12"/>
      <c r="J883" s="12"/>
      <c r="K883" s="12"/>
      <c r="L883" s="335"/>
      <c r="M883" s="30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2" t="str">
        <f>IFERROR(__xludf.DUMMYFUNCTION("IF(Account!$F883&lt;&gt;"""", VALUE(REGEXREPLACE($I883, ""\,"", ""."")), """")"),"")</f>
        <v/>
      </c>
      <c r="O883" s="33" t="str">
        <f>IF(Account!$F883&lt;&gt;"", DATEVALUE(MID($A883,4,3) &amp; LEFT($A883,3) &amp; RIGHT($A883,4)) + TIMEVALUE($B883), "")</f>
        <v/>
      </c>
      <c r="P883" s="34" t="str">
        <f>IF(Account!$F883&lt;&gt;"", DATEVALUE(MID($C883,4,3) &amp; LEFT($C883,3) &amp; RIGHT($C883,4)), "")</f>
        <v/>
      </c>
      <c r="Q883" s="35" t="str">
        <f t="array" ref="Q883">IF($R883&lt;&gt;"",IFERROR(INDEX(ISIN!$B:$B,MATCH($R883,ISIN!$C:$C,0))),)</f>
        <v/>
      </c>
      <c r="R883" s="36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5" t="str">
        <f t="shared" si="1"/>
        <v/>
      </c>
      <c r="T883" s="37" t="str">
        <f t="shared" si="2"/>
        <v/>
      </c>
      <c r="U883" s="38" t="str">
        <f t="shared" si="3"/>
        <v/>
      </c>
      <c r="V883" s="32" t="str">
        <f t="shared" si="4"/>
        <v/>
      </c>
      <c r="W883" s="39" t="str">
        <f>IFERROR(__xludf.DUMMYFUNCTION(" IF(Account!$F883&lt;&gt;"""", SPLIT(Account!$F883, "" ""), """")"),"")</f>
        <v/>
      </c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</row>
    <row r="884">
      <c r="A884" s="12"/>
      <c r="B884" s="12"/>
      <c r="C884" s="12"/>
      <c r="D884" s="12"/>
      <c r="E884" s="12"/>
      <c r="F884" s="13"/>
      <c r="G884" s="291"/>
      <c r="H884" s="12"/>
      <c r="I884" s="12"/>
      <c r="J884" s="12"/>
      <c r="K884" s="12"/>
      <c r="L884" s="335"/>
      <c r="M884" s="30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2" t="str">
        <f>IFERROR(__xludf.DUMMYFUNCTION("IF(Account!$F884&lt;&gt;"""", VALUE(REGEXREPLACE($I884, ""\,"", ""."")), """")"),"")</f>
        <v/>
      </c>
      <c r="O884" s="33" t="str">
        <f>IF(Account!$F884&lt;&gt;"", DATEVALUE(MID($A884,4,3) &amp; LEFT($A884,3) &amp; RIGHT($A884,4)) + TIMEVALUE($B884), "")</f>
        <v/>
      </c>
      <c r="P884" s="34" t="str">
        <f>IF(Account!$F884&lt;&gt;"", DATEVALUE(MID($C884,4,3) &amp; LEFT($C884,3) &amp; RIGHT($C884,4)), "")</f>
        <v/>
      </c>
      <c r="Q884" s="35" t="str">
        <f t="array" ref="Q884">IF($R884&lt;&gt;"",IFERROR(INDEX(ISIN!$B:$B,MATCH($R884,ISIN!$C:$C,0))),)</f>
        <v/>
      </c>
      <c r="R884" s="36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5" t="str">
        <f t="shared" si="1"/>
        <v/>
      </c>
      <c r="T884" s="37" t="str">
        <f t="shared" si="2"/>
        <v/>
      </c>
      <c r="U884" s="38" t="str">
        <f t="shared" si="3"/>
        <v/>
      </c>
      <c r="V884" s="32" t="str">
        <f t="shared" si="4"/>
        <v/>
      </c>
      <c r="W884" s="39" t="str">
        <f>IFERROR(__xludf.DUMMYFUNCTION(" IF(Account!$F884&lt;&gt;"""", SPLIT(Account!$F884, "" ""), """")"),"")</f>
        <v/>
      </c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</row>
    <row r="885">
      <c r="A885" s="12"/>
      <c r="B885" s="12"/>
      <c r="C885" s="12"/>
      <c r="D885" s="291"/>
      <c r="E885" s="291"/>
      <c r="F885" s="13"/>
      <c r="G885" s="291"/>
      <c r="H885" s="12"/>
      <c r="I885" s="12"/>
      <c r="J885" s="12"/>
      <c r="K885" s="12"/>
      <c r="L885" s="335"/>
      <c r="M885" s="30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2" t="str">
        <f>IFERROR(__xludf.DUMMYFUNCTION("IF(Account!$F885&lt;&gt;"""", VALUE(REGEXREPLACE($I885, ""\,"", ""."")), """")"),"")</f>
        <v/>
      </c>
      <c r="O885" s="33" t="str">
        <f>IF(Account!$F885&lt;&gt;"", DATEVALUE(MID($A885,4,3) &amp; LEFT($A885,3) &amp; RIGHT($A885,4)) + TIMEVALUE($B885), "")</f>
        <v/>
      </c>
      <c r="P885" s="34" t="str">
        <f>IF(Account!$F885&lt;&gt;"", DATEVALUE(MID($C885,4,3) &amp; LEFT($C885,3) &amp; RIGHT($C885,4)), "")</f>
        <v/>
      </c>
      <c r="Q885" s="35" t="str">
        <f t="array" ref="Q885">IF($R885&lt;&gt;"",IFERROR(INDEX(ISIN!$B:$B,MATCH($R885,ISIN!$C:$C,0))),)</f>
        <v/>
      </c>
      <c r="R885" s="36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5" t="str">
        <f t="shared" si="1"/>
        <v/>
      </c>
      <c r="T885" s="37" t="str">
        <f t="shared" si="2"/>
        <v/>
      </c>
      <c r="U885" s="38" t="str">
        <f t="shared" si="3"/>
        <v/>
      </c>
      <c r="V885" s="32" t="str">
        <f t="shared" si="4"/>
        <v/>
      </c>
      <c r="W885" s="39" t="str">
        <f>IFERROR(__xludf.DUMMYFUNCTION(" IF(Account!$F885&lt;&gt;"""", SPLIT(Account!$F885, "" ""), """")"),"")</f>
        <v/>
      </c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</row>
    <row r="886">
      <c r="A886" s="12"/>
      <c r="B886" s="12"/>
      <c r="C886" s="12"/>
      <c r="D886" s="12"/>
      <c r="E886" s="12"/>
      <c r="F886" s="13"/>
      <c r="G886" s="12"/>
      <c r="H886" s="12"/>
      <c r="I886" s="12"/>
      <c r="J886" s="12"/>
      <c r="K886" s="12"/>
      <c r="L886" s="13"/>
      <c r="M886" s="30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2" t="str">
        <f>IFERROR(__xludf.DUMMYFUNCTION("IF(Account!$F886&lt;&gt;"""", VALUE(REGEXREPLACE($I886, ""\,"", ""."")), """")"),"")</f>
        <v/>
      </c>
      <c r="O886" s="33" t="str">
        <f>IF(Account!$F886&lt;&gt;"", DATEVALUE(MID($A886,4,3) &amp; LEFT($A886,3) &amp; RIGHT($A886,4)) + TIMEVALUE($B886), "")</f>
        <v/>
      </c>
      <c r="P886" s="34" t="str">
        <f>IF(Account!$F886&lt;&gt;"", DATEVALUE(MID($C886,4,3) &amp; LEFT($C886,3) &amp; RIGHT($C886,4)), "")</f>
        <v/>
      </c>
      <c r="Q886" s="35" t="str">
        <f t="array" ref="Q886">IF($R886&lt;&gt;"",IFERROR(INDEX(ISIN!$B:$B,MATCH($R886,ISIN!$C:$C,0))),)</f>
        <v/>
      </c>
      <c r="R886" s="36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5" t="str">
        <f t="shared" si="1"/>
        <v/>
      </c>
      <c r="T886" s="37" t="str">
        <f t="shared" si="2"/>
        <v/>
      </c>
      <c r="U886" s="38" t="str">
        <f t="shared" si="3"/>
        <v/>
      </c>
      <c r="V886" s="32" t="str">
        <f t="shared" si="4"/>
        <v/>
      </c>
      <c r="W886" s="39" t="str">
        <f>IFERROR(__xludf.DUMMYFUNCTION(" IF(Account!$F886&lt;&gt;"""", SPLIT(Account!$F886, "" ""), """")"),"")</f>
        <v/>
      </c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</row>
    <row r="887">
      <c r="A887" s="12"/>
      <c r="B887" s="12"/>
      <c r="C887" s="12"/>
      <c r="D887" s="12"/>
      <c r="E887" s="12"/>
      <c r="F887" s="13"/>
      <c r="G887" s="291"/>
      <c r="H887" s="12"/>
      <c r="I887" s="12"/>
      <c r="J887" s="12"/>
      <c r="K887" s="12"/>
      <c r="L887" s="13"/>
      <c r="M887" s="30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2" t="str">
        <f>IFERROR(__xludf.DUMMYFUNCTION("IF(Account!$F887&lt;&gt;"""", VALUE(REGEXREPLACE($I887, ""\,"", ""."")), """")"),"")</f>
        <v/>
      </c>
      <c r="O887" s="33" t="str">
        <f>IF(Account!$F887&lt;&gt;"", DATEVALUE(MID($A887,4,3) &amp; LEFT($A887,3) &amp; RIGHT($A887,4)) + TIMEVALUE($B887), "")</f>
        <v/>
      </c>
      <c r="P887" s="34" t="str">
        <f>IF(Account!$F887&lt;&gt;"", DATEVALUE(MID($C887,4,3) &amp; LEFT($C887,3) &amp; RIGHT($C887,4)), "")</f>
        <v/>
      </c>
      <c r="Q887" s="35" t="str">
        <f t="array" ref="Q887">IF($R887&lt;&gt;"",IFERROR(INDEX(ISIN!$B:$B,MATCH($R887,ISIN!$C:$C,0))),)</f>
        <v/>
      </c>
      <c r="R887" s="36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5" t="str">
        <f t="shared" si="1"/>
        <v/>
      </c>
      <c r="T887" s="37" t="str">
        <f t="shared" si="2"/>
        <v/>
      </c>
      <c r="U887" s="38" t="str">
        <f t="shared" si="3"/>
        <v/>
      </c>
      <c r="V887" s="32" t="str">
        <f t="shared" si="4"/>
        <v/>
      </c>
      <c r="W887" s="39" t="str">
        <f>IFERROR(__xludf.DUMMYFUNCTION(" IF(Account!$F887&lt;&gt;"""", SPLIT(Account!$F887, "" ""), """")"),"")</f>
        <v/>
      </c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</row>
    <row r="888">
      <c r="A888" s="12"/>
      <c r="B888" s="12"/>
      <c r="C888" s="12"/>
      <c r="D888" s="12"/>
      <c r="E888" s="12"/>
      <c r="F888" s="13"/>
      <c r="G888" s="291"/>
      <c r="H888" s="12"/>
      <c r="I888" s="12"/>
      <c r="J888" s="12"/>
      <c r="K888" s="12"/>
      <c r="L888" s="13"/>
      <c r="M888" s="30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2" t="str">
        <f>IFERROR(__xludf.DUMMYFUNCTION("IF(Account!$F888&lt;&gt;"""", VALUE(REGEXREPLACE($I888, ""\,"", ""."")), """")"),"")</f>
        <v/>
      </c>
      <c r="O888" s="33" t="str">
        <f>IF(Account!$F888&lt;&gt;"", DATEVALUE(MID($A888,4,3) &amp; LEFT($A888,3) &amp; RIGHT($A888,4)) + TIMEVALUE($B888), "")</f>
        <v/>
      </c>
      <c r="P888" s="34" t="str">
        <f>IF(Account!$F888&lt;&gt;"", DATEVALUE(MID($C888,4,3) &amp; LEFT($C888,3) &amp; RIGHT($C888,4)), "")</f>
        <v/>
      </c>
      <c r="Q888" s="35" t="str">
        <f t="array" ref="Q888">IF($R888&lt;&gt;"",IFERROR(INDEX(ISIN!$B:$B,MATCH($R888,ISIN!$C:$C,0))),)</f>
        <v/>
      </c>
      <c r="R888" s="36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5" t="str">
        <f t="shared" si="1"/>
        <v/>
      </c>
      <c r="T888" s="37" t="str">
        <f t="shared" si="2"/>
        <v/>
      </c>
      <c r="U888" s="38" t="str">
        <f t="shared" si="3"/>
        <v/>
      </c>
      <c r="V888" s="32" t="str">
        <f t="shared" si="4"/>
        <v/>
      </c>
      <c r="W888" s="39" t="str">
        <f>IFERROR(__xludf.DUMMYFUNCTION(" IF(Account!$F888&lt;&gt;"""", SPLIT(Account!$F888, "" ""), """")"),"")</f>
        <v/>
      </c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</row>
    <row r="889">
      <c r="A889" s="12"/>
      <c r="B889" s="12"/>
      <c r="C889" s="12"/>
      <c r="D889" s="12"/>
      <c r="E889" s="12"/>
      <c r="F889" s="13"/>
      <c r="G889" s="291"/>
      <c r="H889" s="12"/>
      <c r="I889" s="12"/>
      <c r="J889" s="12"/>
      <c r="K889" s="12"/>
      <c r="L889" s="13"/>
      <c r="M889" s="30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2" t="str">
        <f>IFERROR(__xludf.DUMMYFUNCTION("IF(Account!$F889&lt;&gt;"""", VALUE(REGEXREPLACE($I889, ""\,"", ""."")), """")"),"")</f>
        <v/>
      </c>
      <c r="O889" s="33" t="str">
        <f>IF(Account!$F889&lt;&gt;"", DATEVALUE(MID($A889,4,3) &amp; LEFT($A889,3) &amp; RIGHT($A889,4)) + TIMEVALUE($B889), "")</f>
        <v/>
      </c>
      <c r="P889" s="34" t="str">
        <f>IF(Account!$F889&lt;&gt;"", DATEVALUE(MID($C889,4,3) &amp; LEFT($C889,3) &amp; RIGHT($C889,4)), "")</f>
        <v/>
      </c>
      <c r="Q889" s="35" t="str">
        <f t="array" ref="Q889">IF($R889&lt;&gt;"",IFERROR(INDEX(ISIN!$B:$B,MATCH($R889,ISIN!$C:$C,0))),)</f>
        <v/>
      </c>
      <c r="R889" s="36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5" t="str">
        <f t="shared" si="1"/>
        <v/>
      </c>
      <c r="T889" s="37" t="str">
        <f t="shared" si="2"/>
        <v/>
      </c>
      <c r="U889" s="38" t="str">
        <f t="shared" si="3"/>
        <v/>
      </c>
      <c r="V889" s="32" t="str">
        <f t="shared" si="4"/>
        <v/>
      </c>
      <c r="W889" s="39" t="str">
        <f>IFERROR(__xludf.DUMMYFUNCTION(" IF(Account!$F889&lt;&gt;"""", SPLIT(Account!$F889, "" ""), """")"),"")</f>
        <v/>
      </c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</row>
    <row r="890">
      <c r="A890" s="12"/>
      <c r="B890" s="12"/>
      <c r="C890" s="12"/>
      <c r="D890" s="12"/>
      <c r="E890" s="12"/>
      <c r="F890" s="13"/>
      <c r="G890" s="12"/>
      <c r="H890" s="12"/>
      <c r="I890" s="12"/>
      <c r="J890" s="12"/>
      <c r="K890" s="12"/>
      <c r="L890" s="13"/>
      <c r="M890" s="30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2" t="str">
        <f>IFERROR(__xludf.DUMMYFUNCTION("IF(Account!$F890&lt;&gt;"""", VALUE(REGEXREPLACE($I890, ""\,"", ""."")), """")"),"")</f>
        <v/>
      </c>
      <c r="O890" s="33" t="str">
        <f>IF(Account!$F890&lt;&gt;"", DATEVALUE(MID($A890,4,3) &amp; LEFT($A890,3) &amp; RIGHT($A890,4)) + TIMEVALUE($B890), "")</f>
        <v/>
      </c>
      <c r="P890" s="34" t="str">
        <f>IF(Account!$F890&lt;&gt;"", DATEVALUE(MID($C890,4,3) &amp; LEFT($C890,3) &amp; RIGHT($C890,4)), "")</f>
        <v/>
      </c>
      <c r="Q890" s="35" t="str">
        <f t="array" ref="Q890">IF($R890&lt;&gt;"",IFERROR(INDEX(ISIN!$B:$B,MATCH($R890,ISIN!$C:$C,0))),)</f>
        <v/>
      </c>
      <c r="R890" s="36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5" t="str">
        <f t="shared" si="1"/>
        <v/>
      </c>
      <c r="T890" s="37" t="str">
        <f t="shared" si="2"/>
        <v/>
      </c>
      <c r="U890" s="38" t="str">
        <f t="shared" si="3"/>
        <v/>
      </c>
      <c r="V890" s="32" t="str">
        <f t="shared" si="4"/>
        <v/>
      </c>
      <c r="W890" s="39" t="str">
        <f>IFERROR(__xludf.DUMMYFUNCTION(" IF(Account!$F890&lt;&gt;"""", SPLIT(Account!$F890, "" ""), """")"),"")</f>
        <v/>
      </c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</row>
    <row r="891">
      <c r="A891" s="12"/>
      <c r="B891" s="12"/>
      <c r="C891" s="12"/>
      <c r="D891" s="12"/>
      <c r="E891" s="12"/>
      <c r="F891" s="13"/>
      <c r="G891" s="291"/>
      <c r="H891" s="12"/>
      <c r="I891" s="12"/>
      <c r="J891" s="12"/>
      <c r="K891" s="12"/>
      <c r="L891" s="13"/>
      <c r="M891" s="30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2" t="str">
        <f>IFERROR(__xludf.DUMMYFUNCTION("IF(Account!$F891&lt;&gt;"""", VALUE(REGEXREPLACE($I891, ""\,"", ""."")), """")"),"")</f>
        <v/>
      </c>
      <c r="O891" s="33" t="str">
        <f>IF(Account!$F891&lt;&gt;"", DATEVALUE(MID($A891,4,3) &amp; LEFT($A891,3) &amp; RIGHT($A891,4)) + TIMEVALUE($B891), "")</f>
        <v/>
      </c>
      <c r="P891" s="34" t="str">
        <f>IF(Account!$F891&lt;&gt;"", DATEVALUE(MID($C891,4,3) &amp; LEFT($C891,3) &amp; RIGHT($C891,4)), "")</f>
        <v/>
      </c>
      <c r="Q891" s="35" t="str">
        <f t="array" ref="Q891">IF($R891&lt;&gt;"",IFERROR(INDEX(ISIN!$B:$B,MATCH($R891,ISIN!$C:$C,0))),)</f>
        <v/>
      </c>
      <c r="R891" s="36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5" t="str">
        <f t="shared" si="1"/>
        <v/>
      </c>
      <c r="T891" s="37" t="str">
        <f t="shared" si="2"/>
        <v/>
      </c>
      <c r="U891" s="38" t="str">
        <f t="shared" si="3"/>
        <v/>
      </c>
      <c r="V891" s="32" t="str">
        <f t="shared" si="4"/>
        <v/>
      </c>
      <c r="W891" s="39" t="str">
        <f>IFERROR(__xludf.DUMMYFUNCTION(" IF(Account!$F891&lt;&gt;"""", SPLIT(Account!$F891, "" ""), """")"),"")</f>
        <v/>
      </c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</row>
    <row r="892">
      <c r="A892" s="12"/>
      <c r="B892" s="12"/>
      <c r="C892" s="12"/>
      <c r="D892" s="12"/>
      <c r="E892" s="12"/>
      <c r="F892" s="13"/>
      <c r="G892" s="291"/>
      <c r="H892" s="12"/>
      <c r="I892" s="12"/>
      <c r="J892" s="12"/>
      <c r="K892" s="12"/>
      <c r="L892" s="13"/>
      <c r="M892" s="30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2" t="str">
        <f>IFERROR(__xludf.DUMMYFUNCTION("IF(Account!$F892&lt;&gt;"""", VALUE(REGEXREPLACE($I892, ""\,"", ""."")), """")"),"")</f>
        <v/>
      </c>
      <c r="O892" s="33" t="str">
        <f>IF(Account!$F892&lt;&gt;"", DATEVALUE(MID($A892,4,3) &amp; LEFT($A892,3) &amp; RIGHT($A892,4)) + TIMEVALUE($B892), "")</f>
        <v/>
      </c>
      <c r="P892" s="34" t="str">
        <f>IF(Account!$F892&lt;&gt;"", DATEVALUE(MID($C892,4,3) &amp; LEFT($C892,3) &amp; RIGHT($C892,4)), "")</f>
        <v/>
      </c>
      <c r="Q892" s="35" t="str">
        <f t="array" ref="Q892">IF($R892&lt;&gt;"",IFERROR(INDEX(ISIN!$B:$B,MATCH($R892,ISIN!$C:$C,0))),)</f>
        <v/>
      </c>
      <c r="R892" s="36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5" t="str">
        <f t="shared" si="1"/>
        <v/>
      </c>
      <c r="T892" s="37" t="str">
        <f t="shared" si="2"/>
        <v/>
      </c>
      <c r="U892" s="38" t="str">
        <f t="shared" si="3"/>
        <v/>
      </c>
      <c r="V892" s="32" t="str">
        <f t="shared" si="4"/>
        <v/>
      </c>
      <c r="W892" s="39" t="str">
        <f>IFERROR(__xludf.DUMMYFUNCTION(" IF(Account!$F892&lt;&gt;"""", SPLIT(Account!$F892, "" ""), """")"),"")</f>
        <v/>
      </c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</row>
    <row r="893">
      <c r="A893" s="12"/>
      <c r="B893" s="12"/>
      <c r="C893" s="12"/>
      <c r="D893" s="12"/>
      <c r="E893" s="12"/>
      <c r="F893" s="13"/>
      <c r="G893" s="291"/>
      <c r="H893" s="12"/>
      <c r="I893" s="12"/>
      <c r="J893" s="12"/>
      <c r="K893" s="12"/>
      <c r="L893" s="13"/>
      <c r="M893" s="30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2" t="str">
        <f>IFERROR(__xludf.DUMMYFUNCTION("IF(Account!$F893&lt;&gt;"""", VALUE(REGEXREPLACE($I893, ""\,"", ""."")), """")"),"")</f>
        <v/>
      </c>
      <c r="O893" s="33" t="str">
        <f>IF(Account!$F893&lt;&gt;"", DATEVALUE(MID($A893,4,3) &amp; LEFT($A893,3) &amp; RIGHT($A893,4)) + TIMEVALUE($B893), "")</f>
        <v/>
      </c>
      <c r="P893" s="34" t="str">
        <f>IF(Account!$F893&lt;&gt;"", DATEVALUE(MID($C893,4,3) &amp; LEFT($C893,3) &amp; RIGHT($C893,4)), "")</f>
        <v/>
      </c>
      <c r="Q893" s="35" t="str">
        <f t="array" ref="Q893">IF($R893&lt;&gt;"",IFERROR(INDEX(ISIN!$B:$B,MATCH($R893,ISIN!$C:$C,0))),)</f>
        <v/>
      </c>
      <c r="R893" s="36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5" t="str">
        <f t="shared" si="1"/>
        <v/>
      </c>
      <c r="T893" s="37" t="str">
        <f t="shared" si="2"/>
        <v/>
      </c>
      <c r="U893" s="38" t="str">
        <f t="shared" si="3"/>
        <v/>
      </c>
      <c r="V893" s="32" t="str">
        <f t="shared" si="4"/>
        <v/>
      </c>
      <c r="W893" s="39" t="str">
        <f>IFERROR(__xludf.DUMMYFUNCTION(" IF(Account!$F893&lt;&gt;"""", SPLIT(Account!$F893, "" ""), """")"),"")</f>
        <v/>
      </c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</row>
    <row r="894">
      <c r="A894" s="12"/>
      <c r="B894" s="12"/>
      <c r="C894" s="12"/>
      <c r="D894" s="12"/>
      <c r="E894" s="12"/>
      <c r="F894" s="13"/>
      <c r="G894" s="291"/>
      <c r="H894" s="12"/>
      <c r="I894" s="12"/>
      <c r="J894" s="12"/>
      <c r="K894" s="12"/>
      <c r="L894" s="13"/>
      <c r="M894" s="30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2" t="str">
        <f>IFERROR(__xludf.DUMMYFUNCTION("IF(Account!$F894&lt;&gt;"""", VALUE(REGEXREPLACE($I894, ""\,"", ""."")), """")"),"")</f>
        <v/>
      </c>
      <c r="O894" s="33" t="str">
        <f>IF(Account!$F894&lt;&gt;"", DATEVALUE(MID($A894,4,3) &amp; LEFT($A894,3) &amp; RIGHT($A894,4)) + TIMEVALUE($B894), "")</f>
        <v/>
      </c>
      <c r="P894" s="34" t="str">
        <f>IF(Account!$F894&lt;&gt;"", DATEVALUE(MID($C894,4,3) &amp; LEFT($C894,3) &amp; RIGHT($C894,4)), "")</f>
        <v/>
      </c>
      <c r="Q894" s="35" t="str">
        <f t="array" ref="Q894">IF($R894&lt;&gt;"",IFERROR(INDEX(ISIN!$B:$B,MATCH($R894,ISIN!$C:$C,0))),)</f>
        <v/>
      </c>
      <c r="R894" s="36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5" t="str">
        <f t="shared" si="1"/>
        <v/>
      </c>
      <c r="T894" s="37" t="str">
        <f t="shared" si="2"/>
        <v/>
      </c>
      <c r="U894" s="38" t="str">
        <f t="shared" si="3"/>
        <v/>
      </c>
      <c r="V894" s="32" t="str">
        <f t="shared" si="4"/>
        <v/>
      </c>
      <c r="W894" s="39" t="str">
        <f>IFERROR(__xludf.DUMMYFUNCTION(" IF(Account!$F894&lt;&gt;"""", SPLIT(Account!$F894, "" ""), """")"),"")</f>
        <v/>
      </c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</row>
    <row r="895">
      <c r="A895" s="12"/>
      <c r="B895" s="12"/>
      <c r="C895" s="12"/>
      <c r="D895" s="12"/>
      <c r="E895" s="12"/>
      <c r="F895" s="13"/>
      <c r="G895" s="291"/>
      <c r="H895" s="12"/>
      <c r="I895" s="12"/>
      <c r="J895" s="12"/>
      <c r="K895" s="12"/>
      <c r="L895" s="13"/>
      <c r="M895" s="30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2" t="str">
        <f>IFERROR(__xludf.DUMMYFUNCTION("IF(Account!$F895&lt;&gt;"""", VALUE(REGEXREPLACE($I895, ""\,"", ""."")), """")"),"")</f>
        <v/>
      </c>
      <c r="O895" s="33" t="str">
        <f>IF(Account!$F895&lt;&gt;"", DATEVALUE(MID($A895,4,3) &amp; LEFT($A895,3) &amp; RIGHT($A895,4)) + TIMEVALUE($B895), "")</f>
        <v/>
      </c>
      <c r="P895" s="34" t="str">
        <f>IF(Account!$F895&lt;&gt;"", DATEVALUE(MID($C895,4,3) &amp; LEFT($C895,3) &amp; RIGHT($C895,4)), "")</f>
        <v/>
      </c>
      <c r="Q895" s="35" t="str">
        <f t="array" ref="Q895">IF($R895&lt;&gt;"",IFERROR(INDEX(ISIN!$B:$B,MATCH($R895,ISIN!$C:$C,0))),)</f>
        <v/>
      </c>
      <c r="R895" s="36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5" t="str">
        <f t="shared" si="1"/>
        <v/>
      </c>
      <c r="T895" s="37" t="str">
        <f t="shared" si="2"/>
        <v/>
      </c>
      <c r="U895" s="38" t="str">
        <f t="shared" si="3"/>
        <v/>
      </c>
      <c r="V895" s="32" t="str">
        <f t="shared" si="4"/>
        <v/>
      </c>
      <c r="W895" s="39" t="str">
        <f>IFERROR(__xludf.DUMMYFUNCTION(" IF(Account!$F895&lt;&gt;"""", SPLIT(Account!$F895, "" ""), """")"),"")</f>
        <v/>
      </c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</row>
    <row r="896">
      <c r="A896" s="12"/>
      <c r="B896" s="12"/>
      <c r="C896" s="12"/>
      <c r="D896" s="12"/>
      <c r="E896" s="12"/>
      <c r="F896" s="13"/>
      <c r="G896" s="291"/>
      <c r="H896" s="12"/>
      <c r="I896" s="12"/>
      <c r="J896" s="12"/>
      <c r="K896" s="12"/>
      <c r="L896" s="13"/>
      <c r="M896" s="30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2" t="str">
        <f>IFERROR(__xludf.DUMMYFUNCTION("IF(Account!$F896&lt;&gt;"""", VALUE(REGEXREPLACE($I896, ""\,"", ""."")), """")"),"")</f>
        <v/>
      </c>
      <c r="O896" s="33" t="str">
        <f>IF(Account!$F896&lt;&gt;"", DATEVALUE(MID($A896,4,3) &amp; LEFT($A896,3) &amp; RIGHT($A896,4)) + TIMEVALUE($B896), "")</f>
        <v/>
      </c>
      <c r="P896" s="34" t="str">
        <f>IF(Account!$F896&lt;&gt;"", DATEVALUE(MID($C896,4,3) &amp; LEFT($C896,3) &amp; RIGHT($C896,4)), "")</f>
        <v/>
      </c>
      <c r="Q896" s="35" t="str">
        <f t="array" ref="Q896">IF($R896&lt;&gt;"",IFERROR(INDEX(ISIN!$B:$B,MATCH($R896,ISIN!$C:$C,0))),)</f>
        <v/>
      </c>
      <c r="R896" s="36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5" t="str">
        <f t="shared" si="1"/>
        <v/>
      </c>
      <c r="T896" s="37" t="str">
        <f t="shared" si="2"/>
        <v/>
      </c>
      <c r="U896" s="38" t="str">
        <f t="shared" si="3"/>
        <v/>
      </c>
      <c r="V896" s="32" t="str">
        <f t="shared" si="4"/>
        <v/>
      </c>
      <c r="W896" s="39" t="str">
        <f>IFERROR(__xludf.DUMMYFUNCTION(" IF(Account!$F896&lt;&gt;"""", SPLIT(Account!$F896, "" ""), """")"),"")</f>
        <v/>
      </c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</row>
    <row r="897">
      <c r="A897" s="12"/>
      <c r="B897" s="12"/>
      <c r="C897" s="12"/>
      <c r="D897" s="12"/>
      <c r="E897" s="12"/>
      <c r="F897" s="13"/>
      <c r="G897" s="12"/>
      <c r="H897" s="12"/>
      <c r="I897" s="12"/>
      <c r="J897" s="12"/>
      <c r="K897" s="12"/>
      <c r="L897" s="13"/>
      <c r="M897" s="30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2" t="str">
        <f>IFERROR(__xludf.DUMMYFUNCTION("IF(Account!$F897&lt;&gt;"""", VALUE(REGEXREPLACE($I897, ""\,"", ""."")), """")"),"")</f>
        <v/>
      </c>
      <c r="O897" s="33" t="str">
        <f>IF(Account!$F897&lt;&gt;"", DATEVALUE(MID($A897,4,3) &amp; LEFT($A897,3) &amp; RIGHT($A897,4)) + TIMEVALUE($B897), "")</f>
        <v/>
      </c>
      <c r="P897" s="34" t="str">
        <f>IF(Account!$F897&lt;&gt;"", DATEVALUE(MID($C897,4,3) &amp; LEFT($C897,3) &amp; RIGHT($C897,4)), "")</f>
        <v/>
      </c>
      <c r="Q897" s="35" t="str">
        <f t="array" ref="Q897">IF($R897&lt;&gt;"",IFERROR(INDEX(ISIN!$B:$B,MATCH($R897,ISIN!$C:$C,0))),)</f>
        <v/>
      </c>
      <c r="R897" s="36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5" t="str">
        <f t="shared" si="1"/>
        <v/>
      </c>
      <c r="T897" s="37" t="str">
        <f t="shared" si="2"/>
        <v/>
      </c>
      <c r="U897" s="38" t="str">
        <f t="shared" si="3"/>
        <v/>
      </c>
      <c r="V897" s="32" t="str">
        <f t="shared" si="4"/>
        <v/>
      </c>
      <c r="W897" s="39" t="str">
        <f>IFERROR(__xludf.DUMMYFUNCTION(" IF(Account!$F897&lt;&gt;"""", SPLIT(Account!$F897, "" ""), """")"),"")</f>
        <v/>
      </c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</row>
    <row r="898">
      <c r="A898" s="12"/>
      <c r="B898" s="12"/>
      <c r="C898" s="12"/>
      <c r="D898" s="12"/>
      <c r="E898" s="12"/>
      <c r="F898" s="13"/>
      <c r="G898" s="291"/>
      <c r="H898" s="12"/>
      <c r="I898" s="12"/>
      <c r="J898" s="12"/>
      <c r="K898" s="12"/>
      <c r="L898" s="13"/>
      <c r="M898" s="30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2" t="str">
        <f>IFERROR(__xludf.DUMMYFUNCTION("IF(Account!$F898&lt;&gt;"""", VALUE(REGEXREPLACE($I898, ""\,"", ""."")), """")"),"")</f>
        <v/>
      </c>
      <c r="O898" s="33" t="str">
        <f>IF(Account!$F898&lt;&gt;"", DATEVALUE(MID($A898,4,3) &amp; LEFT($A898,3) &amp; RIGHT($A898,4)) + TIMEVALUE($B898), "")</f>
        <v/>
      </c>
      <c r="P898" s="34" t="str">
        <f>IF(Account!$F898&lt;&gt;"", DATEVALUE(MID($C898,4,3) &amp; LEFT($C898,3) &amp; RIGHT($C898,4)), "")</f>
        <v/>
      </c>
      <c r="Q898" s="35" t="str">
        <f t="array" ref="Q898">IF($R898&lt;&gt;"",IFERROR(INDEX(ISIN!$B:$B,MATCH($R898,ISIN!$C:$C,0))),)</f>
        <v/>
      </c>
      <c r="R898" s="36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5" t="str">
        <f t="shared" si="1"/>
        <v/>
      </c>
      <c r="T898" s="37" t="str">
        <f t="shared" si="2"/>
        <v/>
      </c>
      <c r="U898" s="38" t="str">
        <f t="shared" si="3"/>
        <v/>
      </c>
      <c r="V898" s="32" t="str">
        <f t="shared" si="4"/>
        <v/>
      </c>
      <c r="W898" s="39" t="str">
        <f>IFERROR(__xludf.DUMMYFUNCTION(" IF(Account!$F898&lt;&gt;"""", SPLIT(Account!$F898, "" ""), """")"),"")</f>
        <v/>
      </c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</row>
    <row r="899">
      <c r="A899" s="12"/>
      <c r="B899" s="12"/>
      <c r="C899" s="12"/>
      <c r="D899" s="12"/>
      <c r="E899" s="12"/>
      <c r="F899" s="13"/>
      <c r="G899" s="291"/>
      <c r="H899" s="12"/>
      <c r="I899" s="12"/>
      <c r="J899" s="12"/>
      <c r="K899" s="12"/>
      <c r="L899" s="13"/>
      <c r="M899" s="30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2" t="str">
        <f>IFERROR(__xludf.DUMMYFUNCTION("IF(Account!$F899&lt;&gt;"""", VALUE(REGEXREPLACE($I899, ""\,"", ""."")), """")"),"")</f>
        <v/>
      </c>
      <c r="O899" s="33" t="str">
        <f>IF(Account!$F899&lt;&gt;"", DATEVALUE(MID($A899,4,3) &amp; LEFT($A899,3) &amp; RIGHT($A899,4)) + TIMEVALUE($B899), "")</f>
        <v/>
      </c>
      <c r="P899" s="34" t="str">
        <f>IF(Account!$F899&lt;&gt;"", DATEVALUE(MID($C899,4,3) &amp; LEFT($C899,3) &amp; RIGHT($C899,4)), "")</f>
        <v/>
      </c>
      <c r="Q899" s="35" t="str">
        <f t="array" ref="Q899">IF($R899&lt;&gt;"",IFERROR(INDEX(ISIN!$B:$B,MATCH($R899,ISIN!$C:$C,0))),)</f>
        <v/>
      </c>
      <c r="R899" s="36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5" t="str">
        <f t="shared" si="1"/>
        <v/>
      </c>
      <c r="T899" s="37" t="str">
        <f t="shared" si="2"/>
        <v/>
      </c>
      <c r="U899" s="38" t="str">
        <f t="shared" si="3"/>
        <v/>
      </c>
      <c r="V899" s="32" t="str">
        <f t="shared" si="4"/>
        <v/>
      </c>
      <c r="W899" s="39" t="str">
        <f>IFERROR(__xludf.DUMMYFUNCTION(" IF(Account!$F899&lt;&gt;"""", SPLIT(Account!$F899, "" ""), """")"),"")</f>
        <v/>
      </c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</row>
    <row r="900">
      <c r="A900" s="12"/>
      <c r="B900" s="12"/>
      <c r="C900" s="12"/>
      <c r="D900" s="12"/>
      <c r="E900" s="12"/>
      <c r="F900" s="13"/>
      <c r="G900" s="291"/>
      <c r="H900" s="291"/>
      <c r="I900" s="291"/>
      <c r="J900" s="12"/>
      <c r="K900" s="12"/>
      <c r="L900" s="335"/>
      <c r="M900" s="30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2" t="str">
        <f>IFERROR(__xludf.DUMMYFUNCTION("IF(Account!$F900&lt;&gt;"""", VALUE(REGEXREPLACE($I900, ""\,"", ""."")), """")"),"")</f>
        <v/>
      </c>
      <c r="O900" s="33" t="str">
        <f>IF(Account!$F900&lt;&gt;"", DATEVALUE(MID($A900,4,3) &amp; LEFT($A900,3) &amp; RIGHT($A900,4)) + TIMEVALUE($B900), "")</f>
        <v/>
      </c>
      <c r="P900" s="34" t="str">
        <f>IF(Account!$F900&lt;&gt;"", DATEVALUE(MID($C900,4,3) &amp; LEFT($C900,3) &amp; RIGHT($C900,4)), "")</f>
        <v/>
      </c>
      <c r="Q900" s="35" t="str">
        <f t="array" ref="Q900">IF($R900&lt;&gt;"",IFERROR(INDEX(ISIN!$B:$B,MATCH($R900,ISIN!$C:$C,0))),)</f>
        <v/>
      </c>
      <c r="R900" s="36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5" t="str">
        <f t="shared" si="1"/>
        <v/>
      </c>
      <c r="T900" s="37" t="str">
        <f t="shared" si="2"/>
        <v/>
      </c>
      <c r="U900" s="38" t="str">
        <f t="shared" si="3"/>
        <v/>
      </c>
      <c r="V900" s="32" t="str">
        <f t="shared" si="4"/>
        <v/>
      </c>
      <c r="W900" s="39" t="str">
        <f>IFERROR(__xludf.DUMMYFUNCTION(" IF(Account!$F900&lt;&gt;"""", SPLIT(Account!$F900, "" ""), """")"),"")</f>
        <v/>
      </c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</row>
    <row r="901">
      <c r="A901" s="12"/>
      <c r="B901" s="12"/>
      <c r="C901" s="12"/>
      <c r="D901" s="291"/>
      <c r="E901" s="291"/>
      <c r="F901" s="13"/>
      <c r="G901" s="12"/>
      <c r="H901" s="12"/>
      <c r="I901" s="12"/>
      <c r="J901" s="12"/>
      <c r="K901" s="12"/>
      <c r="L901" s="335"/>
      <c r="M901" s="30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2" t="str">
        <f>IFERROR(__xludf.DUMMYFUNCTION("IF(Account!$F901&lt;&gt;"""", VALUE(REGEXREPLACE($I901, ""\,"", ""."")), """")"),"")</f>
        <v/>
      </c>
      <c r="O901" s="33" t="str">
        <f>IF(Account!$F901&lt;&gt;"", DATEVALUE(MID($A901,4,3) &amp; LEFT($A901,3) &amp; RIGHT($A901,4)) + TIMEVALUE($B901), "")</f>
        <v/>
      </c>
      <c r="P901" s="34" t="str">
        <f>IF(Account!$F901&lt;&gt;"", DATEVALUE(MID($C901,4,3) &amp; LEFT($C901,3) &amp; RIGHT($C901,4)), "")</f>
        <v/>
      </c>
      <c r="Q901" s="35" t="str">
        <f t="array" ref="Q901">IF($R901&lt;&gt;"",IFERROR(INDEX(ISIN!$B:$B,MATCH($R901,ISIN!$C:$C,0))),)</f>
        <v/>
      </c>
      <c r="R901" s="36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5" t="str">
        <f t="shared" si="1"/>
        <v/>
      </c>
      <c r="T901" s="37" t="str">
        <f t="shared" si="2"/>
        <v/>
      </c>
      <c r="U901" s="38" t="str">
        <f t="shared" si="3"/>
        <v/>
      </c>
      <c r="V901" s="32" t="str">
        <f t="shared" si="4"/>
        <v/>
      </c>
      <c r="W901" s="39" t="str">
        <f>IFERROR(__xludf.DUMMYFUNCTION(" IF(Account!$F901&lt;&gt;"""", SPLIT(Account!$F901, "" ""), """")"),"")</f>
        <v/>
      </c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</row>
    <row r="902">
      <c r="A902" s="12"/>
      <c r="B902" s="12"/>
      <c r="C902" s="12"/>
      <c r="D902" s="291"/>
      <c r="E902" s="291"/>
      <c r="F902" s="13"/>
      <c r="G902" s="291"/>
      <c r="H902" s="12"/>
      <c r="I902" s="12"/>
      <c r="J902" s="12"/>
      <c r="K902" s="12"/>
      <c r="L902" s="335"/>
      <c r="M902" s="30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2" t="str">
        <f>IFERROR(__xludf.DUMMYFUNCTION("IF(Account!$F902&lt;&gt;"""", VALUE(REGEXREPLACE($I902, ""\,"", ""."")), """")"),"")</f>
        <v/>
      </c>
      <c r="O902" s="33" t="str">
        <f>IF(Account!$F902&lt;&gt;"", DATEVALUE(MID($A902,4,3) &amp; LEFT($A902,3) &amp; RIGHT($A902,4)) + TIMEVALUE($B902), "")</f>
        <v/>
      </c>
      <c r="P902" s="34" t="str">
        <f>IF(Account!$F902&lt;&gt;"", DATEVALUE(MID($C902,4,3) &amp; LEFT($C902,3) &amp; RIGHT($C902,4)), "")</f>
        <v/>
      </c>
      <c r="Q902" s="35" t="str">
        <f t="array" ref="Q902">IF($R902&lt;&gt;"",IFERROR(INDEX(ISIN!$B:$B,MATCH($R902,ISIN!$C:$C,0))),)</f>
        <v/>
      </c>
      <c r="R902" s="36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5" t="str">
        <f t="shared" si="1"/>
        <v/>
      </c>
      <c r="T902" s="37" t="str">
        <f t="shared" si="2"/>
        <v/>
      </c>
      <c r="U902" s="38" t="str">
        <f t="shared" si="3"/>
        <v/>
      </c>
      <c r="V902" s="32" t="str">
        <f t="shared" si="4"/>
        <v/>
      </c>
      <c r="W902" s="39" t="str">
        <f>IFERROR(__xludf.DUMMYFUNCTION(" IF(Account!$F902&lt;&gt;"""", SPLIT(Account!$F902, "" ""), """")"),"")</f>
        <v/>
      </c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</row>
    <row r="903">
      <c r="A903" s="12"/>
      <c r="B903" s="12"/>
      <c r="C903" s="12"/>
      <c r="D903" s="12"/>
      <c r="E903" s="12"/>
      <c r="F903" s="13"/>
      <c r="G903" s="291"/>
      <c r="H903" s="291"/>
      <c r="I903" s="291"/>
      <c r="J903" s="12"/>
      <c r="K903" s="12"/>
      <c r="L903" s="335"/>
      <c r="M903" s="30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2" t="str">
        <f>IFERROR(__xludf.DUMMYFUNCTION("IF(Account!$F903&lt;&gt;"""", VALUE(REGEXREPLACE($I903, ""\,"", ""."")), """")"),"")</f>
        <v/>
      </c>
      <c r="O903" s="33" t="str">
        <f>IF(Account!$F903&lt;&gt;"", DATEVALUE(MID($A903,4,3) &amp; LEFT($A903,3) &amp; RIGHT($A903,4)) + TIMEVALUE($B903), "")</f>
        <v/>
      </c>
      <c r="P903" s="34" t="str">
        <f>IF(Account!$F903&lt;&gt;"", DATEVALUE(MID($C903,4,3) &amp; LEFT($C903,3) &amp; RIGHT($C903,4)), "")</f>
        <v/>
      </c>
      <c r="Q903" s="35" t="str">
        <f t="array" ref="Q903">IF($R903&lt;&gt;"",IFERROR(INDEX(ISIN!$B:$B,MATCH($R903,ISIN!$C:$C,0))),)</f>
        <v/>
      </c>
      <c r="R903" s="36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5" t="str">
        <f t="shared" si="1"/>
        <v/>
      </c>
      <c r="T903" s="37" t="str">
        <f t="shared" si="2"/>
        <v/>
      </c>
      <c r="U903" s="38" t="str">
        <f t="shared" si="3"/>
        <v/>
      </c>
      <c r="V903" s="32" t="str">
        <f t="shared" si="4"/>
        <v/>
      </c>
      <c r="W903" s="39" t="str">
        <f>IFERROR(__xludf.DUMMYFUNCTION(" IF(Account!$F903&lt;&gt;"""", SPLIT(Account!$F903, "" ""), """")"),"")</f>
        <v/>
      </c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</row>
    <row r="904">
      <c r="A904" s="12"/>
      <c r="B904" s="12"/>
      <c r="C904" s="12"/>
      <c r="D904" s="12"/>
      <c r="E904" s="12"/>
      <c r="F904" s="13"/>
      <c r="G904" s="291"/>
      <c r="H904" s="12"/>
      <c r="I904" s="12"/>
      <c r="J904" s="12"/>
      <c r="K904" s="12"/>
      <c r="L904" s="335"/>
      <c r="M904" s="30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2" t="str">
        <f>IFERROR(__xludf.DUMMYFUNCTION("IF(Account!$F904&lt;&gt;"""", VALUE(REGEXREPLACE($I904, ""\,"", ""."")), """")"),"")</f>
        <v/>
      </c>
      <c r="O904" s="33" t="str">
        <f>IF(Account!$F904&lt;&gt;"", DATEVALUE(MID($A904,4,3) &amp; LEFT($A904,3) &amp; RIGHT($A904,4)) + TIMEVALUE($B904), "")</f>
        <v/>
      </c>
      <c r="P904" s="34" t="str">
        <f>IF(Account!$F904&lt;&gt;"", DATEVALUE(MID($C904,4,3) &amp; LEFT($C904,3) &amp; RIGHT($C904,4)), "")</f>
        <v/>
      </c>
      <c r="Q904" s="35" t="str">
        <f t="array" ref="Q904">IF($R904&lt;&gt;"",IFERROR(INDEX(ISIN!$B:$B,MATCH($R904,ISIN!$C:$C,0))),)</f>
        <v/>
      </c>
      <c r="R904" s="36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5" t="str">
        <f t="shared" si="1"/>
        <v/>
      </c>
      <c r="T904" s="37" t="str">
        <f t="shared" si="2"/>
        <v/>
      </c>
      <c r="U904" s="38" t="str">
        <f t="shared" si="3"/>
        <v/>
      </c>
      <c r="V904" s="32" t="str">
        <f t="shared" si="4"/>
        <v/>
      </c>
      <c r="W904" s="39" t="str">
        <f>IFERROR(__xludf.DUMMYFUNCTION(" IF(Account!$F904&lt;&gt;"""", SPLIT(Account!$F904, "" ""), """")"),"")</f>
        <v/>
      </c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</row>
    <row r="905">
      <c r="A905" s="12"/>
      <c r="B905" s="12"/>
      <c r="C905" s="12"/>
      <c r="D905" s="12"/>
      <c r="E905" s="12"/>
      <c r="F905" s="13"/>
      <c r="G905" s="291"/>
      <c r="H905" s="12"/>
      <c r="I905" s="12"/>
      <c r="J905" s="12"/>
      <c r="K905" s="12"/>
      <c r="L905" s="335"/>
      <c r="M905" s="30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2" t="str">
        <f>IFERROR(__xludf.DUMMYFUNCTION("IF(Account!$F905&lt;&gt;"""", VALUE(REGEXREPLACE($I905, ""\,"", ""."")), """")"),"")</f>
        <v/>
      </c>
      <c r="O905" s="33" t="str">
        <f>IF(Account!$F905&lt;&gt;"", DATEVALUE(MID($A905,4,3) &amp; LEFT($A905,3) &amp; RIGHT($A905,4)) + TIMEVALUE($B905), "")</f>
        <v/>
      </c>
      <c r="P905" s="34" t="str">
        <f>IF(Account!$F905&lt;&gt;"", DATEVALUE(MID($C905,4,3) &amp; LEFT($C905,3) &amp; RIGHT($C905,4)), "")</f>
        <v/>
      </c>
      <c r="Q905" s="35" t="str">
        <f t="array" ref="Q905">IF($R905&lt;&gt;"",IFERROR(INDEX(ISIN!$B:$B,MATCH($R905,ISIN!$C:$C,0))),)</f>
        <v/>
      </c>
      <c r="R905" s="36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5" t="str">
        <f t="shared" si="1"/>
        <v/>
      </c>
      <c r="T905" s="37" t="str">
        <f t="shared" si="2"/>
        <v/>
      </c>
      <c r="U905" s="38" t="str">
        <f t="shared" si="3"/>
        <v/>
      </c>
      <c r="V905" s="32" t="str">
        <f t="shared" si="4"/>
        <v/>
      </c>
      <c r="W905" s="39" t="str">
        <f>IFERROR(__xludf.DUMMYFUNCTION(" IF(Account!$F905&lt;&gt;"""", SPLIT(Account!$F905, "" ""), """")"),"")</f>
        <v/>
      </c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</row>
    <row r="906">
      <c r="A906" s="12"/>
      <c r="B906" s="12"/>
      <c r="C906" s="12"/>
      <c r="D906" s="12"/>
      <c r="E906" s="12"/>
      <c r="F906" s="13"/>
      <c r="G906" s="291"/>
      <c r="H906" s="12"/>
      <c r="I906" s="12"/>
      <c r="J906" s="12"/>
      <c r="K906" s="12"/>
      <c r="L906" s="13"/>
      <c r="M906" s="30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2" t="str">
        <f>IFERROR(__xludf.DUMMYFUNCTION("IF(Account!$F906&lt;&gt;"""", VALUE(REGEXREPLACE($I906, ""\,"", ""."")), """")"),"")</f>
        <v/>
      </c>
      <c r="O906" s="33" t="str">
        <f>IF(Account!$F906&lt;&gt;"", DATEVALUE(MID($A906,4,3) &amp; LEFT($A906,3) &amp; RIGHT($A906,4)) + TIMEVALUE($B906), "")</f>
        <v/>
      </c>
      <c r="P906" s="34" t="str">
        <f>IF(Account!$F906&lt;&gt;"", DATEVALUE(MID($C906,4,3) &amp; LEFT($C906,3) &amp; RIGHT($C906,4)), "")</f>
        <v/>
      </c>
      <c r="Q906" s="35" t="str">
        <f t="array" ref="Q906">IF($R906&lt;&gt;"",IFERROR(INDEX(ISIN!$B:$B,MATCH($R906,ISIN!$C:$C,0))),)</f>
        <v/>
      </c>
      <c r="R906" s="36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5" t="str">
        <f t="shared" si="1"/>
        <v/>
      </c>
      <c r="T906" s="37" t="str">
        <f t="shared" si="2"/>
        <v/>
      </c>
      <c r="U906" s="38" t="str">
        <f t="shared" si="3"/>
        <v/>
      </c>
      <c r="V906" s="32" t="str">
        <f t="shared" si="4"/>
        <v/>
      </c>
      <c r="W906" s="39" t="str">
        <f>IFERROR(__xludf.DUMMYFUNCTION(" IF(Account!$F906&lt;&gt;"""", SPLIT(Account!$F906, "" ""), """")"),"")</f>
        <v/>
      </c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</row>
    <row r="907">
      <c r="A907" s="12"/>
      <c r="B907" s="12"/>
      <c r="C907" s="12"/>
      <c r="D907" s="12"/>
      <c r="E907" s="12"/>
      <c r="F907" s="13"/>
      <c r="G907" s="291"/>
      <c r="H907" s="12"/>
      <c r="I907" s="12"/>
      <c r="J907" s="12"/>
      <c r="K907" s="12"/>
      <c r="L907" s="13"/>
      <c r="M907" s="30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2" t="str">
        <f>IFERROR(__xludf.DUMMYFUNCTION("IF(Account!$F907&lt;&gt;"""", VALUE(REGEXREPLACE($I907, ""\,"", ""."")), """")"),"")</f>
        <v/>
      </c>
      <c r="O907" s="33" t="str">
        <f>IF(Account!$F907&lt;&gt;"", DATEVALUE(MID($A907,4,3) &amp; LEFT($A907,3) &amp; RIGHT($A907,4)) + TIMEVALUE($B907), "")</f>
        <v/>
      </c>
      <c r="P907" s="34" t="str">
        <f>IF(Account!$F907&lt;&gt;"", DATEVALUE(MID($C907,4,3) &amp; LEFT($C907,3) &amp; RIGHT($C907,4)), "")</f>
        <v/>
      </c>
      <c r="Q907" s="35" t="str">
        <f t="array" ref="Q907">IF($R907&lt;&gt;"",IFERROR(INDEX(ISIN!$B:$B,MATCH($R907,ISIN!$C:$C,0))),)</f>
        <v/>
      </c>
      <c r="R907" s="36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5" t="str">
        <f t="shared" si="1"/>
        <v/>
      </c>
      <c r="T907" s="37" t="str">
        <f t="shared" si="2"/>
        <v/>
      </c>
      <c r="U907" s="38" t="str">
        <f t="shared" si="3"/>
        <v/>
      </c>
      <c r="V907" s="32" t="str">
        <f t="shared" si="4"/>
        <v/>
      </c>
      <c r="W907" s="39" t="str">
        <f>IFERROR(__xludf.DUMMYFUNCTION(" IF(Account!$F907&lt;&gt;"""", SPLIT(Account!$F907, "" ""), """")"),"")</f>
        <v/>
      </c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</row>
    <row r="908">
      <c r="A908" s="12"/>
      <c r="B908" s="12"/>
      <c r="C908" s="12"/>
      <c r="D908" s="12"/>
      <c r="E908" s="12"/>
      <c r="F908" s="13"/>
      <c r="G908" s="12"/>
      <c r="H908" s="12"/>
      <c r="I908" s="12"/>
      <c r="J908" s="12"/>
      <c r="K908" s="12"/>
      <c r="L908" s="13"/>
      <c r="M908" s="30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2" t="str">
        <f>IFERROR(__xludf.DUMMYFUNCTION("IF(Account!$F908&lt;&gt;"""", VALUE(REGEXREPLACE($I908, ""\,"", ""."")), """")"),"")</f>
        <v/>
      </c>
      <c r="O908" s="33" t="str">
        <f>IF(Account!$F908&lt;&gt;"", DATEVALUE(MID($A908,4,3) &amp; LEFT($A908,3) &amp; RIGHT($A908,4)) + TIMEVALUE($B908), "")</f>
        <v/>
      </c>
      <c r="P908" s="34" t="str">
        <f>IF(Account!$F908&lt;&gt;"", DATEVALUE(MID($C908,4,3) &amp; LEFT($C908,3) &amp; RIGHT($C908,4)), "")</f>
        <v/>
      </c>
      <c r="Q908" s="35" t="str">
        <f t="array" ref="Q908">IF($R908&lt;&gt;"",IFERROR(INDEX(ISIN!$B:$B,MATCH($R908,ISIN!$C:$C,0))),)</f>
        <v/>
      </c>
      <c r="R908" s="36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5" t="str">
        <f t="shared" si="1"/>
        <v/>
      </c>
      <c r="T908" s="37" t="str">
        <f t="shared" si="2"/>
        <v/>
      </c>
      <c r="U908" s="38" t="str">
        <f t="shared" si="3"/>
        <v/>
      </c>
      <c r="V908" s="32" t="str">
        <f t="shared" si="4"/>
        <v/>
      </c>
      <c r="W908" s="39" t="str">
        <f>IFERROR(__xludf.DUMMYFUNCTION(" IF(Account!$F908&lt;&gt;"""", SPLIT(Account!$F908, "" ""), """")"),"")</f>
        <v/>
      </c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</row>
    <row r="909">
      <c r="A909" s="12"/>
      <c r="B909" s="12"/>
      <c r="C909" s="12"/>
      <c r="D909" s="12"/>
      <c r="E909" s="12"/>
      <c r="F909" s="13"/>
      <c r="G909" s="291"/>
      <c r="H909" s="12"/>
      <c r="I909" s="12"/>
      <c r="J909" s="12"/>
      <c r="K909" s="12"/>
      <c r="L909" s="13"/>
      <c r="M909" s="30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2" t="str">
        <f>IFERROR(__xludf.DUMMYFUNCTION("IF(Account!$F909&lt;&gt;"""", VALUE(REGEXREPLACE($I909, ""\,"", ""."")), """")"),"")</f>
        <v/>
      </c>
      <c r="O909" s="33" t="str">
        <f>IF(Account!$F909&lt;&gt;"", DATEVALUE(MID($A909,4,3) &amp; LEFT($A909,3) &amp; RIGHT($A909,4)) + TIMEVALUE($B909), "")</f>
        <v/>
      </c>
      <c r="P909" s="34" t="str">
        <f>IF(Account!$F909&lt;&gt;"", DATEVALUE(MID($C909,4,3) &amp; LEFT($C909,3) &amp; RIGHT($C909,4)), "")</f>
        <v/>
      </c>
      <c r="Q909" s="35" t="str">
        <f t="array" ref="Q909">IF($R909&lt;&gt;"",IFERROR(INDEX(ISIN!$B:$B,MATCH($R909,ISIN!$C:$C,0))),)</f>
        <v/>
      </c>
      <c r="R909" s="36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5" t="str">
        <f t="shared" si="1"/>
        <v/>
      </c>
      <c r="T909" s="37" t="str">
        <f t="shared" si="2"/>
        <v/>
      </c>
      <c r="U909" s="38" t="str">
        <f t="shared" si="3"/>
        <v/>
      </c>
      <c r="V909" s="32" t="str">
        <f t="shared" si="4"/>
        <v/>
      </c>
      <c r="W909" s="39" t="str">
        <f>IFERROR(__xludf.DUMMYFUNCTION(" IF(Account!$F909&lt;&gt;"""", SPLIT(Account!$F909, "" ""), """")"),"")</f>
        <v/>
      </c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</row>
    <row r="910">
      <c r="A910" s="12"/>
      <c r="B910" s="12"/>
      <c r="C910" s="12"/>
      <c r="D910" s="12"/>
      <c r="E910" s="12"/>
      <c r="F910" s="13"/>
      <c r="G910" s="291"/>
      <c r="H910" s="12"/>
      <c r="I910" s="12"/>
      <c r="J910" s="12"/>
      <c r="K910" s="12"/>
      <c r="L910" s="13"/>
      <c r="M910" s="30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2" t="str">
        <f>IFERROR(__xludf.DUMMYFUNCTION("IF(Account!$F910&lt;&gt;"""", VALUE(REGEXREPLACE($I910, ""\,"", ""."")), """")"),"")</f>
        <v/>
      </c>
      <c r="O910" s="33" t="str">
        <f>IF(Account!$F910&lt;&gt;"", DATEVALUE(MID($A910,4,3) &amp; LEFT($A910,3) &amp; RIGHT($A910,4)) + TIMEVALUE($B910), "")</f>
        <v/>
      </c>
      <c r="P910" s="34" t="str">
        <f>IF(Account!$F910&lt;&gt;"", DATEVALUE(MID($C910,4,3) &amp; LEFT($C910,3) &amp; RIGHT($C910,4)), "")</f>
        <v/>
      </c>
      <c r="Q910" s="35" t="str">
        <f t="array" ref="Q910">IF($R910&lt;&gt;"",IFERROR(INDEX(ISIN!$B:$B,MATCH($R910,ISIN!$C:$C,0))),)</f>
        <v/>
      </c>
      <c r="R910" s="36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5" t="str">
        <f t="shared" si="1"/>
        <v/>
      </c>
      <c r="T910" s="37" t="str">
        <f t="shared" si="2"/>
        <v/>
      </c>
      <c r="U910" s="38" t="str">
        <f t="shared" si="3"/>
        <v/>
      </c>
      <c r="V910" s="32" t="str">
        <f t="shared" si="4"/>
        <v/>
      </c>
      <c r="W910" s="39" t="str">
        <f>IFERROR(__xludf.DUMMYFUNCTION(" IF(Account!$F910&lt;&gt;"""", SPLIT(Account!$F910, "" ""), """")"),"")</f>
        <v/>
      </c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</row>
    <row r="911">
      <c r="A911" s="12"/>
      <c r="B911" s="12"/>
      <c r="C911" s="12"/>
      <c r="D911" s="12"/>
      <c r="E911" s="12"/>
      <c r="F911" s="13"/>
      <c r="G911" s="12"/>
      <c r="H911" s="12"/>
      <c r="I911" s="12"/>
      <c r="J911" s="12"/>
      <c r="K911" s="12"/>
      <c r="L911" s="13"/>
      <c r="M911" s="30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2" t="str">
        <f>IFERROR(__xludf.DUMMYFUNCTION("IF(Account!$F911&lt;&gt;"""", VALUE(REGEXREPLACE($I911, ""\,"", ""."")), """")"),"")</f>
        <v/>
      </c>
      <c r="O911" s="33" t="str">
        <f>IF(Account!$F911&lt;&gt;"", DATEVALUE(MID($A911,4,3) &amp; LEFT($A911,3) &amp; RIGHT($A911,4)) + TIMEVALUE($B911), "")</f>
        <v/>
      </c>
      <c r="P911" s="34" t="str">
        <f>IF(Account!$F911&lt;&gt;"", DATEVALUE(MID($C911,4,3) &amp; LEFT($C911,3) &amp; RIGHT($C911,4)), "")</f>
        <v/>
      </c>
      <c r="Q911" s="35" t="str">
        <f t="array" ref="Q911">IF($R911&lt;&gt;"",IFERROR(INDEX(ISIN!$B:$B,MATCH($R911,ISIN!$C:$C,0))),)</f>
        <v/>
      </c>
      <c r="R911" s="36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5" t="str">
        <f t="shared" si="1"/>
        <v/>
      </c>
      <c r="T911" s="37" t="str">
        <f t="shared" si="2"/>
        <v/>
      </c>
      <c r="U911" s="38" t="str">
        <f t="shared" si="3"/>
        <v/>
      </c>
      <c r="V911" s="32" t="str">
        <f t="shared" si="4"/>
        <v/>
      </c>
      <c r="W911" s="39" t="str">
        <f>IFERROR(__xludf.DUMMYFUNCTION(" IF(Account!$F911&lt;&gt;"""", SPLIT(Account!$F911, "" ""), """")"),"")</f>
        <v/>
      </c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</row>
    <row r="912">
      <c r="A912" s="12"/>
      <c r="B912" s="12"/>
      <c r="C912" s="12"/>
      <c r="D912" s="12"/>
      <c r="E912" s="12"/>
      <c r="F912" s="13"/>
      <c r="G912" s="291"/>
      <c r="H912" s="12"/>
      <c r="I912" s="12"/>
      <c r="J912" s="12"/>
      <c r="K912" s="12"/>
      <c r="L912" s="13"/>
      <c r="M912" s="30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2" t="str">
        <f>IFERROR(__xludf.DUMMYFUNCTION("IF(Account!$F912&lt;&gt;"""", VALUE(REGEXREPLACE($I912, ""\,"", ""."")), """")"),"")</f>
        <v/>
      </c>
      <c r="O912" s="33" t="str">
        <f>IF(Account!$F912&lt;&gt;"", DATEVALUE(MID($A912,4,3) &amp; LEFT($A912,3) &amp; RIGHT($A912,4)) + TIMEVALUE($B912), "")</f>
        <v/>
      </c>
      <c r="P912" s="34" t="str">
        <f>IF(Account!$F912&lt;&gt;"", DATEVALUE(MID($C912,4,3) &amp; LEFT($C912,3) &amp; RIGHT($C912,4)), "")</f>
        <v/>
      </c>
      <c r="Q912" s="35" t="str">
        <f t="array" ref="Q912">IF($R912&lt;&gt;"",IFERROR(INDEX(ISIN!$B:$B,MATCH($R912,ISIN!$C:$C,0))),)</f>
        <v/>
      </c>
      <c r="R912" s="36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5" t="str">
        <f t="shared" si="1"/>
        <v/>
      </c>
      <c r="T912" s="37" t="str">
        <f t="shared" si="2"/>
        <v/>
      </c>
      <c r="U912" s="38" t="str">
        <f t="shared" si="3"/>
        <v/>
      </c>
      <c r="V912" s="32" t="str">
        <f t="shared" si="4"/>
        <v/>
      </c>
      <c r="W912" s="39" t="str">
        <f>IFERROR(__xludf.DUMMYFUNCTION(" IF(Account!$F912&lt;&gt;"""", SPLIT(Account!$F912, "" ""), """")"),"")</f>
        <v/>
      </c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</row>
    <row r="913">
      <c r="A913" s="12"/>
      <c r="B913" s="12"/>
      <c r="C913" s="12"/>
      <c r="D913" s="12"/>
      <c r="E913" s="12"/>
      <c r="F913" s="13"/>
      <c r="G913" s="291"/>
      <c r="H913" s="12"/>
      <c r="I913" s="12"/>
      <c r="J913" s="12"/>
      <c r="K913" s="12"/>
      <c r="L913" s="13"/>
      <c r="M913" s="30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2" t="str">
        <f>IFERROR(__xludf.DUMMYFUNCTION("IF(Account!$F913&lt;&gt;"""", VALUE(REGEXREPLACE($I913, ""\,"", ""."")), """")"),"")</f>
        <v/>
      </c>
      <c r="O913" s="33" t="str">
        <f>IF(Account!$F913&lt;&gt;"", DATEVALUE(MID($A913,4,3) &amp; LEFT($A913,3) &amp; RIGHT($A913,4)) + TIMEVALUE($B913), "")</f>
        <v/>
      </c>
      <c r="P913" s="34" t="str">
        <f>IF(Account!$F913&lt;&gt;"", DATEVALUE(MID($C913,4,3) &amp; LEFT($C913,3) &amp; RIGHT($C913,4)), "")</f>
        <v/>
      </c>
      <c r="Q913" s="35" t="str">
        <f t="array" ref="Q913">IF($R913&lt;&gt;"",IFERROR(INDEX(ISIN!$B:$B,MATCH($R913,ISIN!$C:$C,0))),)</f>
        <v/>
      </c>
      <c r="R913" s="36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5" t="str">
        <f t="shared" si="1"/>
        <v/>
      </c>
      <c r="T913" s="37" t="str">
        <f t="shared" si="2"/>
        <v/>
      </c>
      <c r="U913" s="38" t="str">
        <f t="shared" si="3"/>
        <v/>
      </c>
      <c r="V913" s="32" t="str">
        <f t="shared" si="4"/>
        <v/>
      </c>
      <c r="W913" s="39" t="str">
        <f>IFERROR(__xludf.DUMMYFUNCTION(" IF(Account!$F913&lt;&gt;"""", SPLIT(Account!$F913, "" ""), """")"),"")</f>
        <v/>
      </c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</row>
    <row r="914">
      <c r="A914" s="12"/>
      <c r="B914" s="12"/>
      <c r="C914" s="12"/>
      <c r="D914" s="12"/>
      <c r="E914" s="12"/>
      <c r="F914" s="13"/>
      <c r="G914" s="291"/>
      <c r="H914" s="12"/>
      <c r="I914" s="12"/>
      <c r="J914" s="12"/>
      <c r="K914" s="12"/>
      <c r="L914" s="13"/>
      <c r="M914" s="30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2" t="str">
        <f>IFERROR(__xludf.DUMMYFUNCTION("IF(Account!$F914&lt;&gt;"""", VALUE(REGEXREPLACE($I914, ""\,"", ""."")), """")"),"")</f>
        <v/>
      </c>
      <c r="O914" s="33" t="str">
        <f>IF(Account!$F914&lt;&gt;"", DATEVALUE(MID($A914,4,3) &amp; LEFT($A914,3) &amp; RIGHT($A914,4)) + TIMEVALUE($B914), "")</f>
        <v/>
      </c>
      <c r="P914" s="34" t="str">
        <f>IF(Account!$F914&lt;&gt;"", DATEVALUE(MID($C914,4,3) &amp; LEFT($C914,3) &amp; RIGHT($C914,4)), "")</f>
        <v/>
      </c>
      <c r="Q914" s="35" t="str">
        <f t="array" ref="Q914">IF($R914&lt;&gt;"",IFERROR(INDEX(ISIN!$B:$B,MATCH($R914,ISIN!$C:$C,0))),)</f>
        <v/>
      </c>
      <c r="R914" s="36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5" t="str">
        <f t="shared" si="1"/>
        <v/>
      </c>
      <c r="T914" s="37" t="str">
        <f t="shared" si="2"/>
        <v/>
      </c>
      <c r="U914" s="38" t="str">
        <f t="shared" si="3"/>
        <v/>
      </c>
      <c r="V914" s="32" t="str">
        <f t="shared" si="4"/>
        <v/>
      </c>
      <c r="W914" s="39" t="str">
        <f>IFERROR(__xludf.DUMMYFUNCTION(" IF(Account!$F914&lt;&gt;"""", SPLIT(Account!$F914, "" ""), """")"),"")</f>
        <v/>
      </c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</row>
    <row r="915">
      <c r="A915" s="12"/>
      <c r="B915" s="12"/>
      <c r="C915" s="12"/>
      <c r="D915" s="12"/>
      <c r="E915" s="12"/>
      <c r="F915" s="13"/>
      <c r="G915" s="291"/>
      <c r="H915" s="12"/>
      <c r="I915" s="12"/>
      <c r="J915" s="12"/>
      <c r="K915" s="12"/>
      <c r="L915" s="13"/>
      <c r="M915" s="30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2" t="str">
        <f>IFERROR(__xludf.DUMMYFUNCTION("IF(Account!$F915&lt;&gt;"""", VALUE(REGEXREPLACE($I915, ""\,"", ""."")), """")"),"")</f>
        <v/>
      </c>
      <c r="O915" s="33" t="str">
        <f>IF(Account!$F915&lt;&gt;"", DATEVALUE(MID($A915,4,3) &amp; LEFT($A915,3) &amp; RIGHT($A915,4)) + TIMEVALUE($B915), "")</f>
        <v/>
      </c>
      <c r="P915" s="34" t="str">
        <f>IF(Account!$F915&lt;&gt;"", DATEVALUE(MID($C915,4,3) &amp; LEFT($C915,3) &amp; RIGHT($C915,4)), "")</f>
        <v/>
      </c>
      <c r="Q915" s="35" t="str">
        <f t="array" ref="Q915">IF($R915&lt;&gt;"",IFERROR(INDEX(ISIN!$B:$B,MATCH($R915,ISIN!$C:$C,0))),)</f>
        <v/>
      </c>
      <c r="R915" s="36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5" t="str">
        <f t="shared" si="1"/>
        <v/>
      </c>
      <c r="T915" s="37" t="str">
        <f t="shared" si="2"/>
        <v/>
      </c>
      <c r="U915" s="38" t="str">
        <f t="shared" si="3"/>
        <v/>
      </c>
      <c r="V915" s="32" t="str">
        <f t="shared" si="4"/>
        <v/>
      </c>
      <c r="W915" s="39" t="str">
        <f>IFERROR(__xludf.DUMMYFUNCTION(" IF(Account!$F915&lt;&gt;"""", SPLIT(Account!$F915, "" ""), """")"),"")</f>
        <v/>
      </c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</row>
    <row r="916">
      <c r="A916" s="12"/>
      <c r="B916" s="12"/>
      <c r="C916" s="12"/>
      <c r="D916" s="12"/>
      <c r="E916" s="12"/>
      <c r="F916" s="13"/>
      <c r="G916" s="291"/>
      <c r="H916" s="12"/>
      <c r="I916" s="12"/>
      <c r="J916" s="12"/>
      <c r="K916" s="12"/>
      <c r="L916" s="13"/>
      <c r="M916" s="30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2" t="str">
        <f>IFERROR(__xludf.DUMMYFUNCTION("IF(Account!$F916&lt;&gt;"""", VALUE(REGEXREPLACE($I916, ""\,"", ""."")), """")"),"")</f>
        <v/>
      </c>
      <c r="O916" s="33" t="str">
        <f>IF(Account!$F916&lt;&gt;"", DATEVALUE(MID($A916,4,3) &amp; LEFT($A916,3) &amp; RIGHT($A916,4)) + TIMEVALUE($B916), "")</f>
        <v/>
      </c>
      <c r="P916" s="34" t="str">
        <f>IF(Account!$F916&lt;&gt;"", DATEVALUE(MID($C916,4,3) &amp; LEFT($C916,3) &amp; RIGHT($C916,4)), "")</f>
        <v/>
      </c>
      <c r="Q916" s="35" t="str">
        <f t="array" ref="Q916">IF($R916&lt;&gt;"",IFERROR(INDEX(ISIN!$B:$B,MATCH($R916,ISIN!$C:$C,0))),)</f>
        <v/>
      </c>
      <c r="R916" s="36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5" t="str">
        <f t="shared" si="1"/>
        <v/>
      </c>
      <c r="T916" s="37" t="str">
        <f t="shared" si="2"/>
        <v/>
      </c>
      <c r="U916" s="38" t="str">
        <f t="shared" si="3"/>
        <v/>
      </c>
      <c r="V916" s="32" t="str">
        <f t="shared" si="4"/>
        <v/>
      </c>
      <c r="W916" s="39" t="str">
        <f>IFERROR(__xludf.DUMMYFUNCTION(" IF(Account!$F916&lt;&gt;"""", SPLIT(Account!$F916, "" ""), """")"),"")</f>
        <v/>
      </c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</row>
    <row r="917">
      <c r="A917" s="12"/>
      <c r="B917" s="12"/>
      <c r="C917" s="12"/>
      <c r="D917" s="12"/>
      <c r="E917" s="12"/>
      <c r="F917" s="13"/>
      <c r="G917" s="12"/>
      <c r="H917" s="12"/>
      <c r="I917" s="12"/>
      <c r="J917" s="12"/>
      <c r="K917" s="12"/>
      <c r="L917" s="13"/>
      <c r="M917" s="30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2" t="str">
        <f>IFERROR(__xludf.DUMMYFUNCTION("IF(Account!$F917&lt;&gt;"""", VALUE(REGEXREPLACE($I917, ""\,"", ""."")), """")"),"")</f>
        <v/>
      </c>
      <c r="O917" s="33" t="str">
        <f>IF(Account!$F917&lt;&gt;"", DATEVALUE(MID($A917,4,3) &amp; LEFT($A917,3) &amp; RIGHT($A917,4)) + TIMEVALUE($B917), "")</f>
        <v/>
      </c>
      <c r="P917" s="34" t="str">
        <f>IF(Account!$F917&lt;&gt;"", DATEVALUE(MID($C917,4,3) &amp; LEFT($C917,3) &amp; RIGHT($C917,4)), "")</f>
        <v/>
      </c>
      <c r="Q917" s="35" t="str">
        <f t="array" ref="Q917">IF($R917&lt;&gt;"",IFERROR(INDEX(ISIN!$B:$B,MATCH($R917,ISIN!$C:$C,0))),)</f>
        <v/>
      </c>
      <c r="R917" s="36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5" t="str">
        <f t="shared" si="1"/>
        <v/>
      </c>
      <c r="T917" s="37" t="str">
        <f t="shared" si="2"/>
        <v/>
      </c>
      <c r="U917" s="38" t="str">
        <f t="shared" si="3"/>
        <v/>
      </c>
      <c r="V917" s="32" t="str">
        <f t="shared" si="4"/>
        <v/>
      </c>
      <c r="W917" s="39" t="str">
        <f>IFERROR(__xludf.DUMMYFUNCTION(" IF(Account!$F917&lt;&gt;"""", SPLIT(Account!$F917, "" ""), """")"),"")</f>
        <v/>
      </c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</row>
    <row r="918">
      <c r="A918" s="12"/>
      <c r="B918" s="12"/>
      <c r="C918" s="12"/>
      <c r="D918" s="12"/>
      <c r="E918" s="12"/>
      <c r="F918" s="13"/>
      <c r="G918" s="291"/>
      <c r="H918" s="12"/>
      <c r="I918" s="12"/>
      <c r="J918" s="12"/>
      <c r="K918" s="12"/>
      <c r="L918" s="13"/>
      <c r="M918" s="30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2" t="str">
        <f>IFERROR(__xludf.DUMMYFUNCTION("IF(Account!$F918&lt;&gt;"""", VALUE(REGEXREPLACE($I918, ""\,"", ""."")), """")"),"")</f>
        <v/>
      </c>
      <c r="O918" s="33" t="str">
        <f>IF(Account!$F918&lt;&gt;"", DATEVALUE(MID($A918,4,3) &amp; LEFT($A918,3) &amp; RIGHT($A918,4)) + TIMEVALUE($B918), "")</f>
        <v/>
      </c>
      <c r="P918" s="34" t="str">
        <f>IF(Account!$F918&lt;&gt;"", DATEVALUE(MID($C918,4,3) &amp; LEFT($C918,3) &amp; RIGHT($C918,4)), "")</f>
        <v/>
      </c>
      <c r="Q918" s="35" t="str">
        <f t="array" ref="Q918">IF($R918&lt;&gt;"",IFERROR(INDEX(ISIN!$B:$B,MATCH($R918,ISIN!$C:$C,0))),)</f>
        <v/>
      </c>
      <c r="R918" s="36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5" t="str">
        <f t="shared" si="1"/>
        <v/>
      </c>
      <c r="T918" s="37" t="str">
        <f t="shared" si="2"/>
        <v/>
      </c>
      <c r="U918" s="38" t="str">
        <f t="shared" si="3"/>
        <v/>
      </c>
      <c r="V918" s="32" t="str">
        <f t="shared" si="4"/>
        <v/>
      </c>
      <c r="W918" s="39" t="str">
        <f>IFERROR(__xludf.DUMMYFUNCTION(" IF(Account!$F918&lt;&gt;"""", SPLIT(Account!$F918, "" ""), """")"),"")</f>
        <v/>
      </c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</row>
    <row r="919">
      <c r="A919" s="12"/>
      <c r="B919" s="12"/>
      <c r="C919" s="12"/>
      <c r="D919" s="12"/>
      <c r="E919" s="12"/>
      <c r="F919" s="13"/>
      <c r="G919" s="291"/>
      <c r="H919" s="12"/>
      <c r="I919" s="12"/>
      <c r="J919" s="12"/>
      <c r="K919" s="12"/>
      <c r="L919" s="13"/>
      <c r="M919" s="30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2" t="str">
        <f>IFERROR(__xludf.DUMMYFUNCTION("IF(Account!$F919&lt;&gt;"""", VALUE(REGEXREPLACE($I919, ""\,"", ""."")), """")"),"")</f>
        <v/>
      </c>
      <c r="O919" s="33" t="str">
        <f>IF(Account!$F919&lt;&gt;"", DATEVALUE(MID($A919,4,3) &amp; LEFT($A919,3) &amp; RIGHT($A919,4)) + TIMEVALUE($B919), "")</f>
        <v/>
      </c>
      <c r="P919" s="34" t="str">
        <f>IF(Account!$F919&lt;&gt;"", DATEVALUE(MID($C919,4,3) &amp; LEFT($C919,3) &amp; RIGHT($C919,4)), "")</f>
        <v/>
      </c>
      <c r="Q919" s="35" t="str">
        <f t="array" ref="Q919">IF($R919&lt;&gt;"",IFERROR(INDEX(ISIN!$B:$B,MATCH($R919,ISIN!$C:$C,0))),)</f>
        <v/>
      </c>
      <c r="R919" s="36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5" t="str">
        <f t="shared" si="1"/>
        <v/>
      </c>
      <c r="T919" s="37" t="str">
        <f t="shared" si="2"/>
        <v/>
      </c>
      <c r="U919" s="38" t="str">
        <f t="shared" si="3"/>
        <v/>
      </c>
      <c r="V919" s="32" t="str">
        <f t="shared" si="4"/>
        <v/>
      </c>
      <c r="W919" s="39" t="str">
        <f>IFERROR(__xludf.DUMMYFUNCTION(" IF(Account!$F919&lt;&gt;"""", SPLIT(Account!$F919, "" ""), """")"),"")</f>
        <v/>
      </c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</row>
    <row r="920">
      <c r="A920" s="12"/>
      <c r="B920" s="12"/>
      <c r="C920" s="12"/>
      <c r="D920" s="291"/>
      <c r="E920" s="291"/>
      <c r="F920" s="13"/>
      <c r="G920" s="291"/>
      <c r="H920" s="12"/>
      <c r="I920" s="12"/>
      <c r="J920" s="12"/>
      <c r="K920" s="12"/>
      <c r="L920" s="335"/>
      <c r="M920" s="30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2" t="str">
        <f>IFERROR(__xludf.DUMMYFUNCTION("IF(Account!$F920&lt;&gt;"""", VALUE(REGEXREPLACE($I920, ""\,"", ""."")), """")"),"")</f>
        <v/>
      </c>
      <c r="O920" s="33" t="str">
        <f>IF(Account!$F920&lt;&gt;"", DATEVALUE(MID($A920,4,3) &amp; LEFT($A920,3) &amp; RIGHT($A920,4)) + TIMEVALUE($B920), "")</f>
        <v/>
      </c>
      <c r="P920" s="34" t="str">
        <f>IF(Account!$F920&lt;&gt;"", DATEVALUE(MID($C920,4,3) &amp; LEFT($C920,3) &amp; RIGHT($C920,4)), "")</f>
        <v/>
      </c>
      <c r="Q920" s="35" t="str">
        <f t="array" ref="Q920">IF($R920&lt;&gt;"",IFERROR(INDEX(ISIN!$B:$B,MATCH($R920,ISIN!$C:$C,0))),)</f>
        <v/>
      </c>
      <c r="R920" s="36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5" t="str">
        <f t="shared" si="1"/>
        <v/>
      </c>
      <c r="T920" s="37" t="str">
        <f t="shared" si="2"/>
        <v/>
      </c>
      <c r="U920" s="38" t="str">
        <f t="shared" si="3"/>
        <v/>
      </c>
      <c r="V920" s="32" t="str">
        <f t="shared" si="4"/>
        <v/>
      </c>
      <c r="W920" s="39" t="str">
        <f>IFERROR(__xludf.DUMMYFUNCTION(" IF(Account!$F920&lt;&gt;"""", SPLIT(Account!$F920, "" ""), """")"),"")</f>
        <v/>
      </c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</row>
    <row r="921">
      <c r="A921" s="12"/>
      <c r="B921" s="12"/>
      <c r="C921" s="12"/>
      <c r="D921" s="291"/>
      <c r="E921" s="291"/>
      <c r="F921" s="13"/>
      <c r="G921" s="291"/>
      <c r="H921" s="12"/>
      <c r="I921" s="12"/>
      <c r="J921" s="12"/>
      <c r="K921" s="12"/>
      <c r="L921" s="335"/>
      <c r="M921" s="30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2" t="str">
        <f>IFERROR(__xludf.DUMMYFUNCTION("IF(Account!$F921&lt;&gt;"""", VALUE(REGEXREPLACE($I921, ""\,"", ""."")), """")"),"")</f>
        <v/>
      </c>
      <c r="O921" s="33" t="str">
        <f>IF(Account!$F921&lt;&gt;"", DATEVALUE(MID($A921,4,3) &amp; LEFT($A921,3) &amp; RIGHT($A921,4)) + TIMEVALUE($B921), "")</f>
        <v/>
      </c>
      <c r="P921" s="34" t="str">
        <f>IF(Account!$F921&lt;&gt;"", DATEVALUE(MID($C921,4,3) &amp; LEFT($C921,3) &amp; RIGHT($C921,4)), "")</f>
        <v/>
      </c>
      <c r="Q921" s="35" t="str">
        <f t="array" ref="Q921">IF($R921&lt;&gt;"",IFERROR(INDEX(ISIN!$B:$B,MATCH($R921,ISIN!$C:$C,0))),)</f>
        <v/>
      </c>
      <c r="R921" s="36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5" t="str">
        <f t="shared" si="1"/>
        <v/>
      </c>
      <c r="T921" s="37" t="str">
        <f t="shared" si="2"/>
        <v/>
      </c>
      <c r="U921" s="38" t="str">
        <f t="shared" si="3"/>
        <v/>
      </c>
      <c r="V921" s="32" t="str">
        <f t="shared" si="4"/>
        <v/>
      </c>
      <c r="W921" s="39" t="str">
        <f>IFERROR(__xludf.DUMMYFUNCTION(" IF(Account!$F921&lt;&gt;"""", SPLIT(Account!$F921, "" ""), """")"),"")</f>
        <v/>
      </c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</row>
    <row r="922">
      <c r="A922" s="12"/>
      <c r="B922" s="12"/>
      <c r="C922" s="12"/>
      <c r="D922" s="291"/>
      <c r="E922" s="291"/>
      <c r="F922" s="13"/>
      <c r="G922" s="291"/>
      <c r="H922" s="12"/>
      <c r="I922" s="12"/>
      <c r="J922" s="12"/>
      <c r="K922" s="12"/>
      <c r="L922" s="335"/>
      <c r="M922" s="30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2" t="str">
        <f>IFERROR(__xludf.DUMMYFUNCTION("IF(Account!$F922&lt;&gt;"""", VALUE(REGEXREPLACE($I922, ""\,"", ""."")), """")"),"")</f>
        <v/>
      </c>
      <c r="O922" s="33" t="str">
        <f>IF(Account!$F922&lt;&gt;"", DATEVALUE(MID($A922,4,3) &amp; LEFT($A922,3) &amp; RIGHT($A922,4)) + TIMEVALUE($B922), "")</f>
        <v/>
      </c>
      <c r="P922" s="34" t="str">
        <f>IF(Account!$F922&lt;&gt;"", DATEVALUE(MID($C922,4,3) &amp; LEFT($C922,3) &amp; RIGHT($C922,4)), "")</f>
        <v/>
      </c>
      <c r="Q922" s="35" t="str">
        <f t="array" ref="Q922">IF($R922&lt;&gt;"",IFERROR(INDEX(ISIN!$B:$B,MATCH($R922,ISIN!$C:$C,0))),)</f>
        <v/>
      </c>
      <c r="R922" s="36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5" t="str">
        <f t="shared" si="1"/>
        <v/>
      </c>
      <c r="T922" s="37" t="str">
        <f t="shared" si="2"/>
        <v/>
      </c>
      <c r="U922" s="38" t="str">
        <f t="shared" si="3"/>
        <v/>
      </c>
      <c r="V922" s="32" t="str">
        <f t="shared" si="4"/>
        <v/>
      </c>
      <c r="W922" s="39" t="str">
        <f>IFERROR(__xludf.DUMMYFUNCTION(" IF(Account!$F922&lt;&gt;"""", SPLIT(Account!$F922, "" ""), """")"),"")</f>
        <v/>
      </c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</row>
    <row r="923">
      <c r="A923" s="12"/>
      <c r="B923" s="12"/>
      <c r="C923" s="12"/>
      <c r="D923" s="12"/>
      <c r="E923" s="12"/>
      <c r="F923" s="13"/>
      <c r="G923" s="291"/>
      <c r="H923" s="291"/>
      <c r="I923" s="291"/>
      <c r="J923" s="12"/>
      <c r="K923" s="12"/>
      <c r="L923" s="335"/>
      <c r="M923" s="30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2" t="str">
        <f>IFERROR(__xludf.DUMMYFUNCTION("IF(Account!$F923&lt;&gt;"""", VALUE(REGEXREPLACE($I923, ""\,"", ""."")), """")"),"")</f>
        <v/>
      </c>
      <c r="O923" s="33" t="str">
        <f>IF(Account!$F923&lt;&gt;"", DATEVALUE(MID($A923,4,3) &amp; LEFT($A923,3) &amp; RIGHT($A923,4)) + TIMEVALUE($B923), "")</f>
        <v/>
      </c>
      <c r="P923" s="34" t="str">
        <f>IF(Account!$F923&lt;&gt;"", DATEVALUE(MID($C923,4,3) &amp; LEFT($C923,3) &amp; RIGHT($C923,4)), "")</f>
        <v/>
      </c>
      <c r="Q923" s="35" t="str">
        <f t="array" ref="Q923">IF($R923&lt;&gt;"",IFERROR(INDEX(ISIN!$B:$B,MATCH($R923,ISIN!$C:$C,0))),)</f>
        <v/>
      </c>
      <c r="R923" s="36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5" t="str">
        <f t="shared" si="1"/>
        <v/>
      </c>
      <c r="T923" s="37" t="str">
        <f t="shared" si="2"/>
        <v/>
      </c>
      <c r="U923" s="38" t="str">
        <f t="shared" si="3"/>
        <v/>
      </c>
      <c r="V923" s="32" t="str">
        <f t="shared" si="4"/>
        <v/>
      </c>
      <c r="W923" s="39" t="str">
        <f>IFERROR(__xludf.DUMMYFUNCTION(" IF(Account!$F923&lt;&gt;"""", SPLIT(Account!$F923, "" ""), """")"),"")</f>
        <v/>
      </c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</row>
    <row r="924">
      <c r="A924" s="12"/>
      <c r="B924" s="12"/>
      <c r="C924" s="12"/>
      <c r="D924" s="291"/>
      <c r="E924" s="291"/>
      <c r="F924" s="13"/>
      <c r="G924" s="12"/>
      <c r="H924" s="12"/>
      <c r="I924" s="12"/>
      <c r="J924" s="12"/>
      <c r="K924" s="12"/>
      <c r="L924" s="335"/>
      <c r="M924" s="30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2" t="str">
        <f>IFERROR(__xludf.DUMMYFUNCTION("IF(Account!$F924&lt;&gt;"""", VALUE(REGEXREPLACE($I924, ""\,"", ""."")), """")"),"")</f>
        <v/>
      </c>
      <c r="O924" s="33" t="str">
        <f>IF(Account!$F924&lt;&gt;"", DATEVALUE(MID($A924,4,3) &amp; LEFT($A924,3) &amp; RIGHT($A924,4)) + TIMEVALUE($B924), "")</f>
        <v/>
      </c>
      <c r="P924" s="34" t="str">
        <f>IF(Account!$F924&lt;&gt;"", DATEVALUE(MID($C924,4,3) &amp; LEFT($C924,3) &amp; RIGHT($C924,4)), "")</f>
        <v/>
      </c>
      <c r="Q924" s="35" t="str">
        <f t="array" ref="Q924">IF($R924&lt;&gt;"",IFERROR(INDEX(ISIN!$B:$B,MATCH($R924,ISIN!$C:$C,0))),)</f>
        <v/>
      </c>
      <c r="R924" s="36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5" t="str">
        <f t="shared" si="1"/>
        <v/>
      </c>
      <c r="T924" s="37" t="str">
        <f t="shared" si="2"/>
        <v/>
      </c>
      <c r="U924" s="38" t="str">
        <f t="shared" si="3"/>
        <v/>
      </c>
      <c r="V924" s="32" t="str">
        <f t="shared" si="4"/>
        <v/>
      </c>
      <c r="W924" s="39" t="str">
        <f>IFERROR(__xludf.DUMMYFUNCTION(" IF(Account!$F924&lt;&gt;"""", SPLIT(Account!$F924, "" ""), """")"),"")</f>
        <v/>
      </c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</row>
    <row r="925">
      <c r="A925" s="12"/>
      <c r="B925" s="12"/>
      <c r="C925" s="12"/>
      <c r="D925" s="291"/>
      <c r="E925" s="291"/>
      <c r="F925" s="13"/>
      <c r="G925" s="291"/>
      <c r="H925" s="12"/>
      <c r="I925" s="12"/>
      <c r="J925" s="12"/>
      <c r="K925" s="12"/>
      <c r="L925" s="335"/>
      <c r="M925" s="30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2" t="str">
        <f>IFERROR(__xludf.DUMMYFUNCTION("IF(Account!$F925&lt;&gt;"""", VALUE(REGEXREPLACE($I925, ""\,"", ""."")), """")"),"")</f>
        <v/>
      </c>
      <c r="O925" s="33" t="str">
        <f>IF(Account!$F925&lt;&gt;"", DATEVALUE(MID($A925,4,3) &amp; LEFT($A925,3) &amp; RIGHT($A925,4)) + TIMEVALUE($B925), "")</f>
        <v/>
      </c>
      <c r="P925" s="34" t="str">
        <f>IF(Account!$F925&lt;&gt;"", DATEVALUE(MID($C925,4,3) &amp; LEFT($C925,3) &amp; RIGHT($C925,4)), "")</f>
        <v/>
      </c>
      <c r="Q925" s="35" t="str">
        <f t="array" ref="Q925">IF($R925&lt;&gt;"",IFERROR(INDEX(ISIN!$B:$B,MATCH($R925,ISIN!$C:$C,0))),)</f>
        <v/>
      </c>
      <c r="R925" s="36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5" t="str">
        <f t="shared" si="1"/>
        <v/>
      </c>
      <c r="T925" s="37" t="str">
        <f t="shared" si="2"/>
        <v/>
      </c>
      <c r="U925" s="38" t="str">
        <f t="shared" si="3"/>
        <v/>
      </c>
      <c r="V925" s="32" t="str">
        <f t="shared" si="4"/>
        <v/>
      </c>
      <c r="W925" s="39" t="str">
        <f>IFERROR(__xludf.DUMMYFUNCTION(" IF(Account!$F925&lt;&gt;"""", SPLIT(Account!$F925, "" ""), """")"),"")</f>
        <v/>
      </c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</row>
    <row r="926">
      <c r="A926" s="12"/>
      <c r="B926" s="12"/>
      <c r="C926" s="12"/>
      <c r="D926" s="12"/>
      <c r="E926" s="12"/>
      <c r="F926" s="13"/>
      <c r="G926" s="291"/>
      <c r="H926" s="291"/>
      <c r="I926" s="291"/>
      <c r="J926" s="12"/>
      <c r="K926" s="12"/>
      <c r="L926" s="335"/>
      <c r="M926" s="30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2" t="str">
        <f>IFERROR(__xludf.DUMMYFUNCTION("IF(Account!$F926&lt;&gt;"""", VALUE(REGEXREPLACE($I926, ""\,"", ""."")), """")"),"")</f>
        <v/>
      </c>
      <c r="O926" s="33" t="str">
        <f>IF(Account!$F926&lt;&gt;"", DATEVALUE(MID($A926,4,3) &amp; LEFT($A926,3) &amp; RIGHT($A926,4)) + TIMEVALUE($B926), "")</f>
        <v/>
      </c>
      <c r="P926" s="34" t="str">
        <f>IF(Account!$F926&lt;&gt;"", DATEVALUE(MID($C926,4,3) &amp; LEFT($C926,3) &amp; RIGHT($C926,4)), "")</f>
        <v/>
      </c>
      <c r="Q926" s="35" t="str">
        <f t="array" ref="Q926">IF($R926&lt;&gt;"",IFERROR(INDEX(ISIN!$B:$B,MATCH($R926,ISIN!$C:$C,0))),)</f>
        <v/>
      </c>
      <c r="R926" s="36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5" t="str">
        <f t="shared" si="1"/>
        <v/>
      </c>
      <c r="T926" s="37" t="str">
        <f t="shared" si="2"/>
        <v/>
      </c>
      <c r="U926" s="38" t="str">
        <f t="shared" si="3"/>
        <v/>
      </c>
      <c r="V926" s="32" t="str">
        <f t="shared" si="4"/>
        <v/>
      </c>
      <c r="W926" s="39" t="str">
        <f>IFERROR(__xludf.DUMMYFUNCTION(" IF(Account!$F926&lt;&gt;"""", SPLIT(Account!$F926, "" ""), """")"),"")</f>
        <v/>
      </c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</row>
    <row r="927">
      <c r="A927" s="12"/>
      <c r="B927" s="12"/>
      <c r="C927" s="12"/>
      <c r="D927" s="12"/>
      <c r="E927" s="12"/>
      <c r="F927" s="13"/>
      <c r="G927" s="291"/>
      <c r="H927" s="12"/>
      <c r="I927" s="12"/>
      <c r="J927" s="12"/>
      <c r="K927" s="12"/>
      <c r="L927" s="335"/>
      <c r="M927" s="30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2" t="str">
        <f>IFERROR(__xludf.DUMMYFUNCTION("IF(Account!$F927&lt;&gt;"""", VALUE(REGEXREPLACE($I927, ""\,"", ""."")), """")"),"")</f>
        <v/>
      </c>
      <c r="O927" s="33" t="str">
        <f>IF(Account!$F927&lt;&gt;"", DATEVALUE(MID($A927,4,3) &amp; LEFT($A927,3) &amp; RIGHT($A927,4)) + TIMEVALUE($B927), "")</f>
        <v/>
      </c>
      <c r="P927" s="34" t="str">
        <f>IF(Account!$F927&lt;&gt;"", DATEVALUE(MID($C927,4,3) &amp; LEFT($C927,3) &amp; RIGHT($C927,4)), "")</f>
        <v/>
      </c>
      <c r="Q927" s="35" t="str">
        <f t="array" ref="Q927">IF($R927&lt;&gt;"",IFERROR(INDEX(ISIN!$B:$B,MATCH($R927,ISIN!$C:$C,0))),)</f>
        <v/>
      </c>
      <c r="R927" s="36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5" t="str">
        <f t="shared" si="1"/>
        <v/>
      </c>
      <c r="T927" s="37" t="str">
        <f t="shared" si="2"/>
        <v/>
      </c>
      <c r="U927" s="38" t="str">
        <f t="shared" si="3"/>
        <v/>
      </c>
      <c r="V927" s="32" t="str">
        <f t="shared" si="4"/>
        <v/>
      </c>
      <c r="W927" s="39" t="str">
        <f>IFERROR(__xludf.DUMMYFUNCTION(" IF(Account!$F927&lt;&gt;"""", SPLIT(Account!$F927, "" ""), """")"),"")</f>
        <v/>
      </c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</row>
    <row r="928">
      <c r="A928" s="12"/>
      <c r="B928" s="12"/>
      <c r="C928" s="12"/>
      <c r="D928" s="12"/>
      <c r="E928" s="12"/>
      <c r="F928" s="13"/>
      <c r="G928" s="291"/>
      <c r="H928" s="12"/>
      <c r="I928" s="12"/>
      <c r="J928" s="12"/>
      <c r="K928" s="12"/>
      <c r="L928" s="335"/>
      <c r="M928" s="30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2" t="str">
        <f>IFERROR(__xludf.DUMMYFUNCTION("IF(Account!$F928&lt;&gt;"""", VALUE(REGEXREPLACE($I928, ""\,"", ""."")), """")"),"")</f>
        <v/>
      </c>
      <c r="O928" s="33" t="str">
        <f>IF(Account!$F928&lt;&gt;"", DATEVALUE(MID($A928,4,3) &amp; LEFT($A928,3) &amp; RIGHT($A928,4)) + TIMEVALUE($B928), "")</f>
        <v/>
      </c>
      <c r="P928" s="34" t="str">
        <f>IF(Account!$F928&lt;&gt;"", DATEVALUE(MID($C928,4,3) &amp; LEFT($C928,3) &amp; RIGHT($C928,4)), "")</f>
        <v/>
      </c>
      <c r="Q928" s="35" t="str">
        <f t="array" ref="Q928">IF($R928&lt;&gt;"",IFERROR(INDEX(ISIN!$B:$B,MATCH($R928,ISIN!$C:$C,0))),)</f>
        <v/>
      </c>
      <c r="R928" s="36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5" t="str">
        <f t="shared" si="1"/>
        <v/>
      </c>
      <c r="T928" s="37" t="str">
        <f t="shared" si="2"/>
        <v/>
      </c>
      <c r="U928" s="38" t="str">
        <f t="shared" si="3"/>
        <v/>
      </c>
      <c r="V928" s="32" t="str">
        <f t="shared" si="4"/>
        <v/>
      </c>
      <c r="W928" s="39" t="str">
        <f>IFERROR(__xludf.DUMMYFUNCTION(" IF(Account!$F928&lt;&gt;"""", SPLIT(Account!$F928, "" ""), """")"),"")</f>
        <v/>
      </c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</row>
    <row r="929">
      <c r="A929" s="12"/>
      <c r="B929" s="12"/>
      <c r="C929" s="12"/>
      <c r="D929" s="291"/>
      <c r="E929" s="291"/>
      <c r="F929" s="13"/>
      <c r="G929" s="12"/>
      <c r="H929" s="12"/>
      <c r="I929" s="12"/>
      <c r="J929" s="12"/>
      <c r="K929" s="12"/>
      <c r="L929" s="335"/>
      <c r="M929" s="30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2" t="str">
        <f>IFERROR(__xludf.DUMMYFUNCTION("IF(Account!$F929&lt;&gt;"""", VALUE(REGEXREPLACE($I929, ""\,"", ""."")), """")"),"")</f>
        <v/>
      </c>
      <c r="O929" s="33" t="str">
        <f>IF(Account!$F929&lt;&gt;"", DATEVALUE(MID($A929,4,3) &amp; LEFT($A929,3) &amp; RIGHT($A929,4)) + TIMEVALUE($B929), "")</f>
        <v/>
      </c>
      <c r="P929" s="34" t="str">
        <f>IF(Account!$F929&lt;&gt;"", DATEVALUE(MID($C929,4,3) &amp; LEFT($C929,3) &amp; RIGHT($C929,4)), "")</f>
        <v/>
      </c>
      <c r="Q929" s="35" t="str">
        <f t="array" ref="Q929">IF($R929&lt;&gt;"",IFERROR(INDEX(ISIN!$B:$B,MATCH($R929,ISIN!$C:$C,0))),)</f>
        <v/>
      </c>
      <c r="R929" s="36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5" t="str">
        <f t="shared" si="1"/>
        <v/>
      </c>
      <c r="T929" s="37" t="str">
        <f t="shared" si="2"/>
        <v/>
      </c>
      <c r="U929" s="38" t="str">
        <f t="shared" si="3"/>
        <v/>
      </c>
      <c r="V929" s="32" t="str">
        <f t="shared" si="4"/>
        <v/>
      </c>
      <c r="W929" s="39" t="str">
        <f>IFERROR(__xludf.DUMMYFUNCTION(" IF(Account!$F929&lt;&gt;"""", SPLIT(Account!$F929, "" ""), """")"),"")</f>
        <v/>
      </c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</row>
    <row r="930">
      <c r="A930" s="12"/>
      <c r="B930" s="12"/>
      <c r="C930" s="12"/>
      <c r="D930" s="291"/>
      <c r="E930" s="291"/>
      <c r="F930" s="13"/>
      <c r="G930" s="291"/>
      <c r="H930" s="12"/>
      <c r="I930" s="12"/>
      <c r="J930" s="12"/>
      <c r="K930" s="12"/>
      <c r="L930" s="335"/>
      <c r="M930" s="30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2" t="str">
        <f>IFERROR(__xludf.DUMMYFUNCTION("IF(Account!$F930&lt;&gt;"""", VALUE(REGEXREPLACE($I930, ""\,"", ""."")), """")"),"")</f>
        <v/>
      </c>
      <c r="O930" s="33" t="str">
        <f>IF(Account!$F930&lt;&gt;"", DATEVALUE(MID($A930,4,3) &amp; LEFT($A930,3) &amp; RIGHT($A930,4)) + TIMEVALUE($B930), "")</f>
        <v/>
      </c>
      <c r="P930" s="34" t="str">
        <f>IF(Account!$F930&lt;&gt;"", DATEVALUE(MID($C930,4,3) &amp; LEFT($C930,3) &amp; RIGHT($C930,4)), "")</f>
        <v/>
      </c>
      <c r="Q930" s="35" t="str">
        <f t="array" ref="Q930">IF($R930&lt;&gt;"",IFERROR(INDEX(ISIN!$B:$B,MATCH($R930,ISIN!$C:$C,0))),)</f>
        <v/>
      </c>
      <c r="R930" s="36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5" t="str">
        <f t="shared" si="1"/>
        <v/>
      </c>
      <c r="T930" s="37" t="str">
        <f t="shared" si="2"/>
        <v/>
      </c>
      <c r="U930" s="38" t="str">
        <f t="shared" si="3"/>
        <v/>
      </c>
      <c r="V930" s="32" t="str">
        <f t="shared" si="4"/>
        <v/>
      </c>
      <c r="W930" s="39" t="str">
        <f>IFERROR(__xludf.DUMMYFUNCTION(" IF(Account!$F930&lt;&gt;"""", SPLIT(Account!$F930, "" ""), """")"),"")</f>
        <v/>
      </c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</row>
    <row r="931">
      <c r="A931" s="12"/>
      <c r="B931" s="12"/>
      <c r="C931" s="12"/>
      <c r="D931" s="12"/>
      <c r="E931" s="12"/>
      <c r="F931" s="13"/>
      <c r="G931" s="291"/>
      <c r="H931" s="12"/>
      <c r="I931" s="12"/>
      <c r="J931" s="12"/>
      <c r="K931" s="12"/>
      <c r="L931" s="335"/>
      <c r="M931" s="30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2" t="str">
        <f>IFERROR(__xludf.DUMMYFUNCTION("IF(Account!$F931&lt;&gt;"""", VALUE(REGEXREPLACE($I931, ""\,"", ""."")), """")"),"")</f>
        <v/>
      </c>
      <c r="O931" s="33" t="str">
        <f>IF(Account!$F931&lt;&gt;"", DATEVALUE(MID($A931,4,3) &amp; LEFT($A931,3) &amp; RIGHT($A931,4)) + TIMEVALUE($B931), "")</f>
        <v/>
      </c>
      <c r="P931" s="34" t="str">
        <f>IF(Account!$F931&lt;&gt;"", DATEVALUE(MID($C931,4,3) &amp; LEFT($C931,3) &amp; RIGHT($C931,4)), "")</f>
        <v/>
      </c>
      <c r="Q931" s="35" t="str">
        <f t="array" ref="Q931">IF($R931&lt;&gt;"",IFERROR(INDEX(ISIN!$B:$B,MATCH($R931,ISIN!$C:$C,0))),)</f>
        <v/>
      </c>
      <c r="R931" s="36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5" t="str">
        <f t="shared" si="1"/>
        <v/>
      </c>
      <c r="T931" s="37" t="str">
        <f t="shared" si="2"/>
        <v/>
      </c>
      <c r="U931" s="38" t="str">
        <f t="shared" si="3"/>
        <v/>
      </c>
      <c r="V931" s="32" t="str">
        <f t="shared" si="4"/>
        <v/>
      </c>
      <c r="W931" s="39" t="str">
        <f>IFERROR(__xludf.DUMMYFUNCTION(" IF(Account!$F931&lt;&gt;"""", SPLIT(Account!$F931, "" ""), """")"),"")</f>
        <v/>
      </c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</row>
    <row r="932">
      <c r="A932" s="12"/>
      <c r="B932" s="12"/>
      <c r="C932" s="12"/>
      <c r="D932" s="12"/>
      <c r="E932" s="12"/>
      <c r="F932" s="13"/>
      <c r="G932" s="291"/>
      <c r="H932" s="12"/>
      <c r="I932" s="12"/>
      <c r="J932" s="12"/>
      <c r="K932" s="12"/>
      <c r="L932" s="335"/>
      <c r="M932" s="30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2" t="str">
        <f>IFERROR(__xludf.DUMMYFUNCTION("IF(Account!$F932&lt;&gt;"""", VALUE(REGEXREPLACE($I932, ""\,"", ""."")), """")"),"")</f>
        <v/>
      </c>
      <c r="O932" s="33" t="str">
        <f>IF(Account!$F932&lt;&gt;"", DATEVALUE(MID($A932,4,3) &amp; LEFT($A932,3) &amp; RIGHT($A932,4)) + TIMEVALUE($B932), "")</f>
        <v/>
      </c>
      <c r="P932" s="34" t="str">
        <f>IF(Account!$F932&lt;&gt;"", DATEVALUE(MID($C932,4,3) &amp; LEFT($C932,3) &amp; RIGHT($C932,4)), "")</f>
        <v/>
      </c>
      <c r="Q932" s="35" t="str">
        <f t="array" ref="Q932">IF($R932&lt;&gt;"",IFERROR(INDEX(ISIN!$B:$B,MATCH($R932,ISIN!$C:$C,0))),)</f>
        <v/>
      </c>
      <c r="R932" s="36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5" t="str">
        <f t="shared" si="1"/>
        <v/>
      </c>
      <c r="T932" s="37" t="str">
        <f t="shared" si="2"/>
        <v/>
      </c>
      <c r="U932" s="38" t="str">
        <f t="shared" si="3"/>
        <v/>
      </c>
      <c r="V932" s="32" t="str">
        <f t="shared" si="4"/>
        <v/>
      </c>
      <c r="W932" s="39" t="str">
        <f>IFERROR(__xludf.DUMMYFUNCTION(" IF(Account!$F932&lt;&gt;"""", SPLIT(Account!$F932, "" ""), """")"),"")</f>
        <v/>
      </c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</row>
    <row r="933">
      <c r="A933" s="12"/>
      <c r="B933" s="12"/>
      <c r="C933" s="12"/>
      <c r="D933" s="12"/>
      <c r="E933" s="12"/>
      <c r="F933" s="13"/>
      <c r="G933" s="12"/>
      <c r="H933" s="12"/>
      <c r="I933" s="12"/>
      <c r="J933" s="12"/>
      <c r="K933" s="12"/>
      <c r="L933" s="13"/>
      <c r="M933" s="30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2" t="str">
        <f>IFERROR(__xludf.DUMMYFUNCTION("IF(Account!$F933&lt;&gt;"""", VALUE(REGEXREPLACE($I933, ""\,"", ""."")), """")"),"")</f>
        <v/>
      </c>
      <c r="O933" s="33" t="str">
        <f>IF(Account!$F933&lt;&gt;"", DATEVALUE(MID($A933,4,3) &amp; LEFT($A933,3) &amp; RIGHT($A933,4)) + TIMEVALUE($B933), "")</f>
        <v/>
      </c>
      <c r="P933" s="34" t="str">
        <f>IF(Account!$F933&lt;&gt;"", DATEVALUE(MID($C933,4,3) &amp; LEFT($C933,3) &amp; RIGHT($C933,4)), "")</f>
        <v/>
      </c>
      <c r="Q933" s="35" t="str">
        <f t="array" ref="Q933">IF($R933&lt;&gt;"",IFERROR(INDEX(ISIN!$B:$B,MATCH($R933,ISIN!$C:$C,0))),)</f>
        <v/>
      </c>
      <c r="R933" s="36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5" t="str">
        <f t="shared" si="1"/>
        <v/>
      </c>
      <c r="T933" s="37" t="str">
        <f t="shared" si="2"/>
        <v/>
      </c>
      <c r="U933" s="38" t="str">
        <f t="shared" si="3"/>
        <v/>
      </c>
      <c r="V933" s="32" t="str">
        <f t="shared" si="4"/>
        <v/>
      </c>
      <c r="W933" s="39" t="str">
        <f>IFERROR(__xludf.DUMMYFUNCTION(" IF(Account!$F933&lt;&gt;"""", SPLIT(Account!$F933, "" ""), """")"),"")</f>
        <v/>
      </c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</row>
    <row r="934">
      <c r="A934" s="12"/>
      <c r="B934" s="12"/>
      <c r="C934" s="12"/>
      <c r="D934" s="12"/>
      <c r="E934" s="12"/>
      <c r="F934" s="13"/>
      <c r="G934" s="291"/>
      <c r="H934" s="12"/>
      <c r="I934" s="12"/>
      <c r="J934" s="12"/>
      <c r="K934" s="12"/>
      <c r="L934" s="13"/>
      <c r="M934" s="30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2" t="str">
        <f>IFERROR(__xludf.DUMMYFUNCTION("IF(Account!$F934&lt;&gt;"""", VALUE(REGEXREPLACE($I934, ""\,"", ""."")), """")"),"")</f>
        <v/>
      </c>
      <c r="O934" s="33" t="str">
        <f>IF(Account!$F934&lt;&gt;"", DATEVALUE(MID($A934,4,3) &amp; LEFT($A934,3) &amp; RIGHT($A934,4)) + TIMEVALUE($B934), "")</f>
        <v/>
      </c>
      <c r="P934" s="34" t="str">
        <f>IF(Account!$F934&lt;&gt;"", DATEVALUE(MID($C934,4,3) &amp; LEFT($C934,3) &amp; RIGHT($C934,4)), "")</f>
        <v/>
      </c>
      <c r="Q934" s="35" t="str">
        <f t="array" ref="Q934">IF($R934&lt;&gt;"",IFERROR(INDEX(ISIN!$B:$B,MATCH($R934,ISIN!$C:$C,0))),)</f>
        <v/>
      </c>
      <c r="R934" s="36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5" t="str">
        <f t="shared" si="1"/>
        <v/>
      </c>
      <c r="T934" s="37" t="str">
        <f t="shared" si="2"/>
        <v/>
      </c>
      <c r="U934" s="38" t="str">
        <f t="shared" si="3"/>
        <v/>
      </c>
      <c r="V934" s="32" t="str">
        <f t="shared" si="4"/>
        <v/>
      </c>
      <c r="W934" s="39" t="str">
        <f>IFERROR(__xludf.DUMMYFUNCTION(" IF(Account!$F934&lt;&gt;"""", SPLIT(Account!$F934, "" ""), """")"),"")</f>
        <v/>
      </c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</row>
    <row r="935">
      <c r="A935" s="12"/>
      <c r="B935" s="12"/>
      <c r="C935" s="12"/>
      <c r="D935" s="12"/>
      <c r="E935" s="12"/>
      <c r="F935" s="13"/>
      <c r="G935" s="291"/>
      <c r="H935" s="12"/>
      <c r="I935" s="12"/>
      <c r="J935" s="12"/>
      <c r="K935" s="12"/>
      <c r="L935" s="13"/>
      <c r="M935" s="30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2" t="str">
        <f>IFERROR(__xludf.DUMMYFUNCTION("IF(Account!$F935&lt;&gt;"""", VALUE(REGEXREPLACE($I935, ""\,"", ""."")), """")"),"")</f>
        <v/>
      </c>
      <c r="O935" s="33" t="str">
        <f>IF(Account!$F935&lt;&gt;"", DATEVALUE(MID($A935,4,3) &amp; LEFT($A935,3) &amp; RIGHT($A935,4)) + TIMEVALUE($B935), "")</f>
        <v/>
      </c>
      <c r="P935" s="34" t="str">
        <f>IF(Account!$F935&lt;&gt;"", DATEVALUE(MID($C935,4,3) &amp; LEFT($C935,3) &amp; RIGHT($C935,4)), "")</f>
        <v/>
      </c>
      <c r="Q935" s="35" t="str">
        <f t="array" ref="Q935">IF($R935&lt;&gt;"",IFERROR(INDEX(ISIN!$B:$B,MATCH($R935,ISIN!$C:$C,0))),)</f>
        <v/>
      </c>
      <c r="R935" s="36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5" t="str">
        <f t="shared" si="1"/>
        <v/>
      </c>
      <c r="T935" s="37" t="str">
        <f t="shared" si="2"/>
        <v/>
      </c>
      <c r="U935" s="38" t="str">
        <f t="shared" si="3"/>
        <v/>
      </c>
      <c r="V935" s="32" t="str">
        <f t="shared" si="4"/>
        <v/>
      </c>
      <c r="W935" s="39" t="str">
        <f>IFERROR(__xludf.DUMMYFUNCTION(" IF(Account!$F935&lt;&gt;"""", SPLIT(Account!$F935, "" ""), """")"),"")</f>
        <v/>
      </c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</row>
    <row r="936">
      <c r="A936" s="12"/>
      <c r="B936" s="12"/>
      <c r="C936" s="12"/>
      <c r="D936" s="12"/>
      <c r="E936" s="12"/>
      <c r="F936" s="13"/>
      <c r="G936" s="291"/>
      <c r="H936" s="12"/>
      <c r="I936" s="12"/>
      <c r="J936" s="12"/>
      <c r="K936" s="12"/>
      <c r="L936" s="13"/>
      <c r="M936" s="30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2" t="str">
        <f>IFERROR(__xludf.DUMMYFUNCTION("IF(Account!$F936&lt;&gt;"""", VALUE(REGEXREPLACE($I936, ""\,"", ""."")), """")"),"")</f>
        <v/>
      </c>
      <c r="O936" s="33" t="str">
        <f>IF(Account!$F936&lt;&gt;"", DATEVALUE(MID($A936,4,3) &amp; LEFT($A936,3) &amp; RIGHT($A936,4)) + TIMEVALUE($B936), "")</f>
        <v/>
      </c>
      <c r="P936" s="34" t="str">
        <f>IF(Account!$F936&lt;&gt;"", DATEVALUE(MID($C936,4,3) &amp; LEFT($C936,3) &amp; RIGHT($C936,4)), "")</f>
        <v/>
      </c>
      <c r="Q936" s="35" t="str">
        <f t="array" ref="Q936">IF($R936&lt;&gt;"",IFERROR(INDEX(ISIN!$B:$B,MATCH($R936,ISIN!$C:$C,0))),)</f>
        <v/>
      </c>
      <c r="R936" s="36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5" t="str">
        <f t="shared" si="1"/>
        <v/>
      </c>
      <c r="T936" s="37" t="str">
        <f t="shared" si="2"/>
        <v/>
      </c>
      <c r="U936" s="38" t="str">
        <f t="shared" si="3"/>
        <v/>
      </c>
      <c r="V936" s="32" t="str">
        <f t="shared" si="4"/>
        <v/>
      </c>
      <c r="W936" s="39" t="str">
        <f>IFERROR(__xludf.DUMMYFUNCTION(" IF(Account!$F936&lt;&gt;"""", SPLIT(Account!$F936, "" ""), """")"),"")</f>
        <v/>
      </c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</row>
    <row r="937">
      <c r="A937" s="12"/>
      <c r="B937" s="12"/>
      <c r="C937" s="12"/>
      <c r="D937" s="12"/>
      <c r="E937" s="12"/>
      <c r="F937" s="13"/>
      <c r="G937" s="291"/>
      <c r="H937" s="12"/>
      <c r="I937" s="12"/>
      <c r="J937" s="12"/>
      <c r="K937" s="12"/>
      <c r="L937" s="13"/>
      <c r="M937" s="30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2" t="str">
        <f>IFERROR(__xludf.DUMMYFUNCTION("IF(Account!$F937&lt;&gt;"""", VALUE(REGEXREPLACE($I937, ""\,"", ""."")), """")"),"")</f>
        <v/>
      </c>
      <c r="O937" s="33" t="str">
        <f>IF(Account!$F937&lt;&gt;"", DATEVALUE(MID($A937,4,3) &amp; LEFT($A937,3) &amp; RIGHT($A937,4)) + TIMEVALUE($B937), "")</f>
        <v/>
      </c>
      <c r="P937" s="34" t="str">
        <f>IF(Account!$F937&lt;&gt;"", DATEVALUE(MID($C937,4,3) &amp; LEFT($C937,3) &amp; RIGHT($C937,4)), "")</f>
        <v/>
      </c>
      <c r="Q937" s="35" t="str">
        <f t="array" ref="Q937">IF($R937&lt;&gt;"",IFERROR(INDEX(ISIN!$B:$B,MATCH($R937,ISIN!$C:$C,0))),)</f>
        <v/>
      </c>
      <c r="R937" s="36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5" t="str">
        <f t="shared" si="1"/>
        <v/>
      </c>
      <c r="T937" s="37" t="str">
        <f t="shared" si="2"/>
        <v/>
      </c>
      <c r="U937" s="38" t="str">
        <f t="shared" si="3"/>
        <v/>
      </c>
      <c r="V937" s="32" t="str">
        <f t="shared" si="4"/>
        <v/>
      </c>
      <c r="W937" s="39" t="str">
        <f>IFERROR(__xludf.DUMMYFUNCTION(" IF(Account!$F937&lt;&gt;"""", SPLIT(Account!$F937, "" ""), """")"),"")</f>
        <v/>
      </c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</row>
    <row r="938">
      <c r="A938" s="12"/>
      <c r="B938" s="12"/>
      <c r="C938" s="12"/>
      <c r="D938" s="12"/>
      <c r="E938" s="12"/>
      <c r="F938" s="13"/>
      <c r="G938" s="291"/>
      <c r="H938" s="12"/>
      <c r="I938" s="12"/>
      <c r="J938" s="12"/>
      <c r="K938" s="12"/>
      <c r="L938" s="13"/>
      <c r="M938" s="30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2" t="str">
        <f>IFERROR(__xludf.DUMMYFUNCTION("IF(Account!$F938&lt;&gt;"""", VALUE(REGEXREPLACE($I938, ""\,"", ""."")), """")"),"")</f>
        <v/>
      </c>
      <c r="O938" s="33" t="str">
        <f>IF(Account!$F938&lt;&gt;"", DATEVALUE(MID($A938,4,3) &amp; LEFT($A938,3) &amp; RIGHT($A938,4)) + TIMEVALUE($B938), "")</f>
        <v/>
      </c>
      <c r="P938" s="34" t="str">
        <f>IF(Account!$F938&lt;&gt;"", DATEVALUE(MID($C938,4,3) &amp; LEFT($C938,3) &amp; RIGHT($C938,4)), "")</f>
        <v/>
      </c>
      <c r="Q938" s="35" t="str">
        <f t="array" ref="Q938">IF($R938&lt;&gt;"",IFERROR(INDEX(ISIN!$B:$B,MATCH($R938,ISIN!$C:$C,0))),)</f>
        <v/>
      </c>
      <c r="R938" s="36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5" t="str">
        <f t="shared" si="1"/>
        <v/>
      </c>
      <c r="T938" s="37" t="str">
        <f t="shared" si="2"/>
        <v/>
      </c>
      <c r="U938" s="38" t="str">
        <f t="shared" si="3"/>
        <v/>
      </c>
      <c r="V938" s="32" t="str">
        <f t="shared" si="4"/>
        <v/>
      </c>
      <c r="W938" s="39" t="str">
        <f>IFERROR(__xludf.DUMMYFUNCTION(" IF(Account!$F938&lt;&gt;"""", SPLIT(Account!$F938, "" ""), """")"),"")</f>
        <v/>
      </c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</row>
    <row r="939">
      <c r="A939" s="12"/>
      <c r="B939" s="12"/>
      <c r="C939" s="12"/>
      <c r="D939" s="291"/>
      <c r="E939" s="291"/>
      <c r="F939" s="13"/>
      <c r="G939" s="291"/>
      <c r="H939" s="12"/>
      <c r="I939" s="12"/>
      <c r="J939" s="12"/>
      <c r="K939" s="12"/>
      <c r="L939" s="335"/>
      <c r="M939" s="30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2" t="str">
        <f>IFERROR(__xludf.DUMMYFUNCTION("IF(Account!$F939&lt;&gt;"""", VALUE(REGEXREPLACE($I939, ""\,"", ""."")), """")"),"")</f>
        <v/>
      </c>
      <c r="O939" s="33" t="str">
        <f>IF(Account!$F939&lt;&gt;"", DATEVALUE(MID($A939,4,3) &amp; LEFT($A939,3) &amp; RIGHT($A939,4)) + TIMEVALUE($B939), "")</f>
        <v/>
      </c>
      <c r="P939" s="34" t="str">
        <f>IF(Account!$F939&lt;&gt;"", DATEVALUE(MID($C939,4,3) &amp; LEFT($C939,3) &amp; RIGHT($C939,4)), "")</f>
        <v/>
      </c>
      <c r="Q939" s="35" t="str">
        <f t="array" ref="Q939">IF($R939&lt;&gt;"",IFERROR(INDEX(ISIN!$B:$B,MATCH($R939,ISIN!$C:$C,0))),)</f>
        <v/>
      </c>
      <c r="R939" s="36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5" t="str">
        <f t="shared" si="1"/>
        <v/>
      </c>
      <c r="T939" s="37" t="str">
        <f t="shared" si="2"/>
        <v/>
      </c>
      <c r="U939" s="38" t="str">
        <f t="shared" si="3"/>
        <v/>
      </c>
      <c r="V939" s="32" t="str">
        <f t="shared" si="4"/>
        <v/>
      </c>
      <c r="W939" s="39" t="str">
        <f>IFERROR(__xludf.DUMMYFUNCTION(" IF(Account!$F939&lt;&gt;"""", SPLIT(Account!$F939, "" ""), """")"),"")</f>
        <v/>
      </c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</row>
    <row r="940">
      <c r="A940" s="12"/>
      <c r="B940" s="12"/>
      <c r="C940" s="12"/>
      <c r="D940" s="12"/>
      <c r="E940" s="12"/>
      <c r="F940" s="13"/>
      <c r="G940" s="291"/>
      <c r="H940" s="12"/>
      <c r="I940" s="12"/>
      <c r="J940" s="12"/>
      <c r="K940" s="12"/>
      <c r="L940" s="13"/>
      <c r="M940" s="30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2" t="str">
        <f>IFERROR(__xludf.DUMMYFUNCTION("IF(Account!$F940&lt;&gt;"""", VALUE(REGEXREPLACE($I940, ""\,"", ""."")), """")"),"")</f>
        <v/>
      </c>
      <c r="O940" s="33" t="str">
        <f>IF(Account!$F940&lt;&gt;"", DATEVALUE(MID($A940,4,3) &amp; LEFT($A940,3) &amp; RIGHT($A940,4)) + TIMEVALUE($B940), "")</f>
        <v/>
      </c>
      <c r="P940" s="34" t="str">
        <f>IF(Account!$F940&lt;&gt;"", DATEVALUE(MID($C940,4,3) &amp; LEFT($C940,3) &amp; RIGHT($C940,4)), "")</f>
        <v/>
      </c>
      <c r="Q940" s="35" t="str">
        <f t="array" ref="Q940">IF($R940&lt;&gt;"",IFERROR(INDEX(ISIN!$B:$B,MATCH($R940,ISIN!$C:$C,0))),)</f>
        <v/>
      </c>
      <c r="R940" s="36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5" t="str">
        <f t="shared" si="1"/>
        <v/>
      </c>
      <c r="T940" s="37" t="str">
        <f t="shared" si="2"/>
        <v/>
      </c>
      <c r="U940" s="38" t="str">
        <f t="shared" si="3"/>
        <v/>
      </c>
      <c r="V940" s="32" t="str">
        <f t="shared" si="4"/>
        <v/>
      </c>
      <c r="W940" s="39" t="str">
        <f>IFERROR(__xludf.DUMMYFUNCTION(" IF(Account!$F940&lt;&gt;"""", SPLIT(Account!$F940, "" ""), """")"),"")</f>
        <v/>
      </c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</row>
    <row r="941">
      <c r="A941" s="12"/>
      <c r="B941" s="12"/>
      <c r="C941" s="12"/>
      <c r="D941" s="12"/>
      <c r="E941" s="12"/>
      <c r="F941" s="13"/>
      <c r="G941" s="291"/>
      <c r="H941" s="12"/>
      <c r="I941" s="12"/>
      <c r="J941" s="12"/>
      <c r="K941" s="12"/>
      <c r="L941" s="13"/>
      <c r="M941" s="30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2" t="str">
        <f>IFERROR(__xludf.DUMMYFUNCTION("IF(Account!$F941&lt;&gt;"""", VALUE(REGEXREPLACE($I941, ""\,"", ""."")), """")"),"")</f>
        <v/>
      </c>
      <c r="O941" s="33" t="str">
        <f>IF(Account!$F941&lt;&gt;"", DATEVALUE(MID($A941,4,3) &amp; LEFT($A941,3) &amp; RIGHT($A941,4)) + TIMEVALUE($B941), "")</f>
        <v/>
      </c>
      <c r="P941" s="34" t="str">
        <f>IF(Account!$F941&lt;&gt;"", DATEVALUE(MID($C941,4,3) &amp; LEFT($C941,3) &amp; RIGHT($C941,4)), "")</f>
        <v/>
      </c>
      <c r="Q941" s="35" t="str">
        <f t="array" ref="Q941">IF($R941&lt;&gt;"",IFERROR(INDEX(ISIN!$B:$B,MATCH($R941,ISIN!$C:$C,0))),)</f>
        <v/>
      </c>
      <c r="R941" s="36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5" t="str">
        <f t="shared" si="1"/>
        <v/>
      </c>
      <c r="T941" s="37" t="str">
        <f t="shared" si="2"/>
        <v/>
      </c>
      <c r="U941" s="38" t="str">
        <f t="shared" si="3"/>
        <v/>
      </c>
      <c r="V941" s="32" t="str">
        <f t="shared" si="4"/>
        <v/>
      </c>
      <c r="W941" s="39" t="str">
        <f>IFERROR(__xludf.DUMMYFUNCTION(" IF(Account!$F941&lt;&gt;"""", SPLIT(Account!$F941, "" ""), """")"),"")</f>
        <v/>
      </c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</row>
    <row r="942">
      <c r="A942" s="12"/>
      <c r="B942" s="12"/>
      <c r="C942" s="12"/>
      <c r="D942" s="12"/>
      <c r="E942" s="12"/>
      <c r="F942" s="13"/>
      <c r="G942" s="291"/>
      <c r="H942" s="12"/>
      <c r="I942" s="12"/>
      <c r="J942" s="12"/>
      <c r="K942" s="12"/>
      <c r="L942" s="13"/>
      <c r="M942" s="30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2" t="str">
        <f>IFERROR(__xludf.DUMMYFUNCTION("IF(Account!$F942&lt;&gt;"""", VALUE(REGEXREPLACE($I942, ""\,"", ""."")), """")"),"")</f>
        <v/>
      </c>
      <c r="O942" s="33" t="str">
        <f>IF(Account!$F942&lt;&gt;"", DATEVALUE(MID($A942,4,3) &amp; LEFT($A942,3) &amp; RIGHT($A942,4)) + TIMEVALUE($B942), "")</f>
        <v/>
      </c>
      <c r="P942" s="34" t="str">
        <f>IF(Account!$F942&lt;&gt;"", DATEVALUE(MID($C942,4,3) &amp; LEFT($C942,3) &amp; RIGHT($C942,4)), "")</f>
        <v/>
      </c>
      <c r="Q942" s="35" t="str">
        <f t="array" ref="Q942">IF($R942&lt;&gt;"",IFERROR(INDEX(ISIN!$B:$B,MATCH($R942,ISIN!$C:$C,0))),)</f>
        <v/>
      </c>
      <c r="R942" s="36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5" t="str">
        <f t="shared" si="1"/>
        <v/>
      </c>
      <c r="T942" s="37" t="str">
        <f t="shared" si="2"/>
        <v/>
      </c>
      <c r="U942" s="38" t="str">
        <f t="shared" si="3"/>
        <v/>
      </c>
      <c r="V942" s="32" t="str">
        <f t="shared" si="4"/>
        <v/>
      </c>
      <c r="W942" s="39" t="str">
        <f>IFERROR(__xludf.DUMMYFUNCTION(" IF(Account!$F942&lt;&gt;"""", SPLIT(Account!$F942, "" ""), """")"),"")</f>
        <v/>
      </c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</row>
    <row r="943">
      <c r="A943" s="12"/>
      <c r="B943" s="12"/>
      <c r="C943" s="12"/>
      <c r="D943" s="12"/>
      <c r="E943" s="12"/>
      <c r="F943" s="13"/>
      <c r="G943" s="12"/>
      <c r="H943" s="12"/>
      <c r="I943" s="12"/>
      <c r="J943" s="12"/>
      <c r="K943" s="12"/>
      <c r="L943" s="13"/>
      <c r="M943" s="30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2" t="str">
        <f>IFERROR(__xludf.DUMMYFUNCTION("IF(Account!$F943&lt;&gt;"""", VALUE(REGEXREPLACE($I943, ""\,"", ""."")), """")"),"")</f>
        <v/>
      </c>
      <c r="O943" s="33" t="str">
        <f>IF(Account!$F943&lt;&gt;"", DATEVALUE(MID($A943,4,3) &amp; LEFT($A943,3) &amp; RIGHT($A943,4)) + TIMEVALUE($B943), "")</f>
        <v/>
      </c>
      <c r="P943" s="34" t="str">
        <f>IF(Account!$F943&lt;&gt;"", DATEVALUE(MID($C943,4,3) &amp; LEFT($C943,3) &amp; RIGHT($C943,4)), "")</f>
        <v/>
      </c>
      <c r="Q943" s="35" t="str">
        <f t="array" ref="Q943">IF($R943&lt;&gt;"",IFERROR(INDEX(ISIN!$B:$B,MATCH($R943,ISIN!$C:$C,0))),)</f>
        <v/>
      </c>
      <c r="R943" s="36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5" t="str">
        <f t="shared" si="1"/>
        <v/>
      </c>
      <c r="T943" s="37" t="str">
        <f t="shared" si="2"/>
        <v/>
      </c>
      <c r="U943" s="38" t="str">
        <f t="shared" si="3"/>
        <v/>
      </c>
      <c r="V943" s="32" t="str">
        <f t="shared" si="4"/>
        <v/>
      </c>
      <c r="W943" s="39" t="str">
        <f>IFERROR(__xludf.DUMMYFUNCTION(" IF(Account!$F943&lt;&gt;"""", SPLIT(Account!$F943, "" ""), """")"),"")</f>
        <v/>
      </c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</row>
    <row r="944">
      <c r="A944" s="12"/>
      <c r="B944" s="12"/>
      <c r="C944" s="12"/>
      <c r="D944" s="12"/>
      <c r="E944" s="12"/>
      <c r="F944" s="13"/>
      <c r="G944" s="291"/>
      <c r="H944" s="12"/>
      <c r="I944" s="12"/>
      <c r="J944" s="12"/>
      <c r="K944" s="12"/>
      <c r="L944" s="13"/>
      <c r="M944" s="30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2" t="str">
        <f>IFERROR(__xludf.DUMMYFUNCTION("IF(Account!$F944&lt;&gt;"""", VALUE(REGEXREPLACE($I944, ""\,"", ""."")), """")"),"")</f>
        <v/>
      </c>
      <c r="O944" s="33" t="str">
        <f>IF(Account!$F944&lt;&gt;"", DATEVALUE(MID($A944,4,3) &amp; LEFT($A944,3) &amp; RIGHT($A944,4)) + TIMEVALUE($B944), "")</f>
        <v/>
      </c>
      <c r="P944" s="34" t="str">
        <f>IF(Account!$F944&lt;&gt;"", DATEVALUE(MID($C944,4,3) &amp; LEFT($C944,3) &amp; RIGHT($C944,4)), "")</f>
        <v/>
      </c>
      <c r="Q944" s="35" t="str">
        <f t="array" ref="Q944">IF($R944&lt;&gt;"",IFERROR(INDEX(ISIN!$B:$B,MATCH($R944,ISIN!$C:$C,0))),)</f>
        <v/>
      </c>
      <c r="R944" s="36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5" t="str">
        <f t="shared" si="1"/>
        <v/>
      </c>
      <c r="T944" s="37" t="str">
        <f t="shared" si="2"/>
        <v/>
      </c>
      <c r="U944" s="38" t="str">
        <f t="shared" si="3"/>
        <v/>
      </c>
      <c r="V944" s="32" t="str">
        <f t="shared" si="4"/>
        <v/>
      </c>
      <c r="W944" s="39" t="str">
        <f>IFERROR(__xludf.DUMMYFUNCTION(" IF(Account!$F944&lt;&gt;"""", SPLIT(Account!$F944, "" ""), """")"),"")</f>
        <v/>
      </c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</row>
    <row r="945">
      <c r="A945" s="12"/>
      <c r="B945" s="12"/>
      <c r="C945" s="12"/>
      <c r="D945" s="12"/>
      <c r="E945" s="12"/>
      <c r="F945" s="13"/>
      <c r="G945" s="12"/>
      <c r="H945" s="12"/>
      <c r="I945" s="12"/>
      <c r="J945" s="12"/>
      <c r="K945" s="12"/>
      <c r="L945" s="13"/>
      <c r="M945" s="30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2" t="str">
        <f>IFERROR(__xludf.DUMMYFUNCTION("IF(Account!$F945&lt;&gt;"""", VALUE(REGEXREPLACE($I945, ""\,"", ""."")), """")"),"")</f>
        <v/>
      </c>
      <c r="O945" s="33" t="str">
        <f>IF(Account!$F945&lt;&gt;"", DATEVALUE(MID($A945,4,3) &amp; LEFT($A945,3) &amp; RIGHT($A945,4)) + TIMEVALUE($B945), "")</f>
        <v/>
      </c>
      <c r="P945" s="34" t="str">
        <f>IF(Account!$F945&lt;&gt;"", DATEVALUE(MID($C945,4,3) &amp; LEFT($C945,3) &amp; RIGHT($C945,4)), "")</f>
        <v/>
      </c>
      <c r="Q945" s="35" t="str">
        <f t="array" ref="Q945">IF($R945&lt;&gt;"",IFERROR(INDEX(ISIN!$B:$B,MATCH($R945,ISIN!$C:$C,0))),)</f>
        <v/>
      </c>
      <c r="R945" s="36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5" t="str">
        <f t="shared" si="1"/>
        <v/>
      </c>
      <c r="T945" s="37" t="str">
        <f t="shared" si="2"/>
        <v/>
      </c>
      <c r="U945" s="38" t="str">
        <f t="shared" si="3"/>
        <v/>
      </c>
      <c r="V945" s="32" t="str">
        <f t="shared" si="4"/>
        <v/>
      </c>
      <c r="W945" s="39" t="str">
        <f>IFERROR(__xludf.DUMMYFUNCTION(" IF(Account!$F945&lt;&gt;"""", SPLIT(Account!$F945, "" ""), """")"),"")</f>
        <v/>
      </c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</row>
    <row r="946">
      <c r="A946" s="12"/>
      <c r="B946" s="12"/>
      <c r="C946" s="12"/>
      <c r="D946" s="12"/>
      <c r="E946" s="12"/>
      <c r="F946" s="13"/>
      <c r="G946" s="291"/>
      <c r="H946" s="12"/>
      <c r="I946" s="12"/>
      <c r="J946" s="12"/>
      <c r="K946" s="12"/>
      <c r="L946" s="13"/>
      <c r="M946" s="30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2" t="str">
        <f>IFERROR(__xludf.DUMMYFUNCTION("IF(Account!$F946&lt;&gt;"""", VALUE(REGEXREPLACE($I946, ""\,"", ""."")), """")"),"")</f>
        <v/>
      </c>
      <c r="O946" s="33" t="str">
        <f>IF(Account!$F946&lt;&gt;"", DATEVALUE(MID($A946,4,3) &amp; LEFT($A946,3) &amp; RIGHT($A946,4)) + TIMEVALUE($B946), "")</f>
        <v/>
      </c>
      <c r="P946" s="34" t="str">
        <f>IF(Account!$F946&lt;&gt;"", DATEVALUE(MID($C946,4,3) &amp; LEFT($C946,3) &amp; RIGHT($C946,4)), "")</f>
        <v/>
      </c>
      <c r="Q946" s="35" t="str">
        <f t="array" ref="Q946">IF($R946&lt;&gt;"",IFERROR(INDEX(ISIN!$B:$B,MATCH($R946,ISIN!$C:$C,0))),)</f>
        <v/>
      </c>
      <c r="R946" s="36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5" t="str">
        <f t="shared" si="1"/>
        <v/>
      </c>
      <c r="T946" s="37" t="str">
        <f t="shared" si="2"/>
        <v/>
      </c>
      <c r="U946" s="38" t="str">
        <f t="shared" si="3"/>
        <v/>
      </c>
      <c r="V946" s="32" t="str">
        <f t="shared" si="4"/>
        <v/>
      </c>
      <c r="W946" s="39" t="str">
        <f>IFERROR(__xludf.DUMMYFUNCTION(" IF(Account!$F946&lt;&gt;"""", SPLIT(Account!$F946, "" ""), """")"),"")</f>
        <v/>
      </c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</row>
    <row r="947">
      <c r="A947" s="12"/>
      <c r="B947" s="12"/>
      <c r="C947" s="12"/>
      <c r="D947" s="12"/>
      <c r="E947" s="12"/>
      <c r="F947" s="13"/>
      <c r="G947" s="12"/>
      <c r="H947" s="12"/>
      <c r="I947" s="12"/>
      <c r="J947" s="12"/>
      <c r="K947" s="12"/>
      <c r="L947" s="13"/>
      <c r="M947" s="30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2" t="str">
        <f>IFERROR(__xludf.DUMMYFUNCTION("IF(Account!$F947&lt;&gt;"""", VALUE(REGEXREPLACE($I947, ""\,"", ""."")), """")"),"")</f>
        <v/>
      </c>
      <c r="O947" s="33" t="str">
        <f>IF(Account!$F947&lt;&gt;"", DATEVALUE(MID($A947,4,3) &amp; LEFT($A947,3) &amp; RIGHT($A947,4)) + TIMEVALUE($B947), "")</f>
        <v/>
      </c>
      <c r="P947" s="34" t="str">
        <f>IF(Account!$F947&lt;&gt;"", DATEVALUE(MID($C947,4,3) &amp; LEFT($C947,3) &amp; RIGHT($C947,4)), "")</f>
        <v/>
      </c>
      <c r="Q947" s="35" t="str">
        <f t="array" ref="Q947">IF($R947&lt;&gt;"",IFERROR(INDEX(ISIN!$B:$B,MATCH($R947,ISIN!$C:$C,0))),)</f>
        <v/>
      </c>
      <c r="R947" s="36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5" t="str">
        <f t="shared" si="1"/>
        <v/>
      </c>
      <c r="T947" s="37" t="str">
        <f t="shared" si="2"/>
        <v/>
      </c>
      <c r="U947" s="38" t="str">
        <f t="shared" si="3"/>
        <v/>
      </c>
      <c r="V947" s="32" t="str">
        <f t="shared" si="4"/>
        <v/>
      </c>
      <c r="W947" s="39" t="str">
        <f>IFERROR(__xludf.DUMMYFUNCTION(" IF(Account!$F947&lt;&gt;"""", SPLIT(Account!$F947, "" ""), """")"),"")</f>
        <v/>
      </c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</row>
    <row r="948">
      <c r="A948" s="12"/>
      <c r="B948" s="12"/>
      <c r="C948" s="12"/>
      <c r="D948" s="12"/>
      <c r="E948" s="12"/>
      <c r="F948" s="13"/>
      <c r="G948" s="291"/>
      <c r="H948" s="12"/>
      <c r="I948" s="12"/>
      <c r="J948" s="12"/>
      <c r="K948" s="12"/>
      <c r="L948" s="13"/>
      <c r="M948" s="30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2" t="str">
        <f>IFERROR(__xludf.DUMMYFUNCTION("IF(Account!$F948&lt;&gt;"""", VALUE(REGEXREPLACE($I948, ""\,"", ""."")), """")"),"")</f>
        <v/>
      </c>
      <c r="O948" s="33" t="str">
        <f>IF(Account!$F948&lt;&gt;"", DATEVALUE(MID($A948,4,3) &amp; LEFT($A948,3) &amp; RIGHT($A948,4)) + TIMEVALUE($B948), "")</f>
        <v/>
      </c>
      <c r="P948" s="34" t="str">
        <f>IF(Account!$F948&lt;&gt;"", DATEVALUE(MID($C948,4,3) &amp; LEFT($C948,3) &amp; RIGHT($C948,4)), "")</f>
        <v/>
      </c>
      <c r="Q948" s="35" t="str">
        <f t="array" ref="Q948">IF($R948&lt;&gt;"",IFERROR(INDEX(ISIN!$B:$B,MATCH($R948,ISIN!$C:$C,0))),)</f>
        <v/>
      </c>
      <c r="R948" s="36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5" t="str">
        <f t="shared" si="1"/>
        <v/>
      </c>
      <c r="T948" s="37" t="str">
        <f t="shared" si="2"/>
        <v/>
      </c>
      <c r="U948" s="38" t="str">
        <f t="shared" si="3"/>
        <v/>
      </c>
      <c r="V948" s="32" t="str">
        <f t="shared" si="4"/>
        <v/>
      </c>
      <c r="W948" s="39" t="str">
        <f>IFERROR(__xludf.DUMMYFUNCTION(" IF(Account!$F948&lt;&gt;"""", SPLIT(Account!$F948, "" ""), """")"),"")</f>
        <v/>
      </c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</row>
    <row r="949">
      <c r="A949" s="12"/>
      <c r="B949" s="12"/>
      <c r="C949" s="12"/>
      <c r="D949" s="12"/>
      <c r="E949" s="12"/>
      <c r="F949" s="13"/>
      <c r="G949" s="12"/>
      <c r="H949" s="12"/>
      <c r="I949" s="12"/>
      <c r="J949" s="12"/>
      <c r="K949" s="12"/>
      <c r="L949" s="13"/>
      <c r="M949" s="30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2" t="str">
        <f>IFERROR(__xludf.DUMMYFUNCTION("IF(Account!$F949&lt;&gt;"""", VALUE(REGEXREPLACE($I949, ""\,"", ""."")), """")"),"")</f>
        <v/>
      </c>
      <c r="O949" s="33" t="str">
        <f>IF(Account!$F949&lt;&gt;"", DATEVALUE(MID($A949,4,3) &amp; LEFT($A949,3) &amp; RIGHT($A949,4)) + TIMEVALUE($B949), "")</f>
        <v/>
      </c>
      <c r="P949" s="34" t="str">
        <f>IF(Account!$F949&lt;&gt;"", DATEVALUE(MID($C949,4,3) &amp; LEFT($C949,3) &amp; RIGHT($C949,4)), "")</f>
        <v/>
      </c>
      <c r="Q949" s="35" t="str">
        <f t="array" ref="Q949">IF($R949&lt;&gt;"",IFERROR(INDEX(ISIN!$B:$B,MATCH($R949,ISIN!$C:$C,0))),)</f>
        <v/>
      </c>
      <c r="R949" s="36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5" t="str">
        <f t="shared" si="1"/>
        <v/>
      </c>
      <c r="T949" s="37" t="str">
        <f t="shared" si="2"/>
        <v/>
      </c>
      <c r="U949" s="38" t="str">
        <f t="shared" si="3"/>
        <v/>
      </c>
      <c r="V949" s="32" t="str">
        <f t="shared" si="4"/>
        <v/>
      </c>
      <c r="W949" s="39" t="str">
        <f>IFERROR(__xludf.DUMMYFUNCTION(" IF(Account!$F949&lt;&gt;"""", SPLIT(Account!$F949, "" ""), """")"),"")</f>
        <v/>
      </c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</row>
    <row r="950">
      <c r="A950" s="12"/>
      <c r="B950" s="12"/>
      <c r="C950" s="12"/>
      <c r="D950" s="12"/>
      <c r="E950" s="12"/>
      <c r="F950" s="13"/>
      <c r="G950" s="291"/>
      <c r="H950" s="12"/>
      <c r="I950" s="12"/>
      <c r="J950" s="12"/>
      <c r="K950" s="12"/>
      <c r="L950" s="13"/>
      <c r="M950" s="30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2" t="str">
        <f>IFERROR(__xludf.DUMMYFUNCTION("IF(Account!$F950&lt;&gt;"""", VALUE(REGEXREPLACE($I950, ""\,"", ""."")), """")"),"")</f>
        <v/>
      </c>
      <c r="O950" s="33" t="str">
        <f>IF(Account!$F950&lt;&gt;"", DATEVALUE(MID($A950,4,3) &amp; LEFT($A950,3) &amp; RIGHT($A950,4)) + TIMEVALUE($B950), "")</f>
        <v/>
      </c>
      <c r="P950" s="34" t="str">
        <f>IF(Account!$F950&lt;&gt;"", DATEVALUE(MID($C950,4,3) &amp; LEFT($C950,3) &amp; RIGHT($C950,4)), "")</f>
        <v/>
      </c>
      <c r="Q950" s="35" t="str">
        <f t="array" ref="Q950">IF($R950&lt;&gt;"",IFERROR(INDEX(ISIN!$B:$B,MATCH($R950,ISIN!$C:$C,0))),)</f>
        <v/>
      </c>
      <c r="R950" s="36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5" t="str">
        <f t="shared" si="1"/>
        <v/>
      </c>
      <c r="T950" s="37" t="str">
        <f t="shared" si="2"/>
        <v/>
      </c>
      <c r="U950" s="38" t="str">
        <f t="shared" si="3"/>
        <v/>
      </c>
      <c r="V950" s="32" t="str">
        <f t="shared" si="4"/>
        <v/>
      </c>
      <c r="W950" s="39" t="str">
        <f>IFERROR(__xludf.DUMMYFUNCTION(" IF(Account!$F950&lt;&gt;"""", SPLIT(Account!$F950, "" ""), """")"),"")</f>
        <v/>
      </c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</row>
    <row r="951">
      <c r="A951" s="12"/>
      <c r="B951" s="12"/>
      <c r="C951" s="12"/>
      <c r="D951" s="12"/>
      <c r="E951" s="12"/>
      <c r="F951" s="13"/>
      <c r="G951" s="12"/>
      <c r="H951" s="12"/>
      <c r="I951" s="12"/>
      <c r="J951" s="12"/>
      <c r="K951" s="12"/>
      <c r="L951" s="13"/>
      <c r="M951" s="30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2" t="str">
        <f>IFERROR(__xludf.DUMMYFUNCTION("IF(Account!$F951&lt;&gt;"""", VALUE(REGEXREPLACE($I951, ""\,"", ""."")), """")"),"")</f>
        <v/>
      </c>
      <c r="O951" s="33" t="str">
        <f>IF(Account!$F951&lt;&gt;"", DATEVALUE(MID($A951,4,3) &amp; LEFT($A951,3) &amp; RIGHT($A951,4)) + TIMEVALUE($B951), "")</f>
        <v/>
      </c>
      <c r="P951" s="34" t="str">
        <f>IF(Account!$F951&lt;&gt;"", DATEVALUE(MID($C951,4,3) &amp; LEFT($C951,3) &amp; RIGHT($C951,4)), "")</f>
        <v/>
      </c>
      <c r="Q951" s="35" t="str">
        <f t="array" ref="Q951">IF($R951&lt;&gt;"",IFERROR(INDEX(ISIN!$B:$B,MATCH($R951,ISIN!$C:$C,0))),)</f>
        <v/>
      </c>
      <c r="R951" s="36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5" t="str">
        <f t="shared" si="1"/>
        <v/>
      </c>
      <c r="T951" s="37" t="str">
        <f t="shared" si="2"/>
        <v/>
      </c>
      <c r="U951" s="38" t="str">
        <f t="shared" si="3"/>
        <v/>
      </c>
      <c r="V951" s="32" t="str">
        <f t="shared" si="4"/>
        <v/>
      </c>
      <c r="W951" s="39" t="str">
        <f>IFERROR(__xludf.DUMMYFUNCTION(" IF(Account!$F951&lt;&gt;"""", SPLIT(Account!$F951, "" ""), """")"),"")</f>
        <v/>
      </c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</row>
    <row r="952">
      <c r="A952" s="12"/>
      <c r="B952" s="12"/>
      <c r="C952" s="12"/>
      <c r="D952" s="12"/>
      <c r="E952" s="12"/>
      <c r="F952" s="13"/>
      <c r="G952" s="291"/>
      <c r="H952" s="12"/>
      <c r="I952" s="12"/>
      <c r="J952" s="12"/>
      <c r="K952" s="12"/>
      <c r="L952" s="13"/>
      <c r="M952" s="30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2" t="str">
        <f>IFERROR(__xludf.DUMMYFUNCTION("IF(Account!$F952&lt;&gt;"""", VALUE(REGEXREPLACE($I952, ""\,"", ""."")), """")"),"")</f>
        <v/>
      </c>
      <c r="O952" s="33" t="str">
        <f>IF(Account!$F952&lt;&gt;"", DATEVALUE(MID($A952,4,3) &amp; LEFT($A952,3) &amp; RIGHT($A952,4)) + TIMEVALUE($B952), "")</f>
        <v/>
      </c>
      <c r="P952" s="34" t="str">
        <f>IF(Account!$F952&lt;&gt;"", DATEVALUE(MID($C952,4,3) &amp; LEFT($C952,3) &amp; RIGHT($C952,4)), "")</f>
        <v/>
      </c>
      <c r="Q952" s="35" t="str">
        <f t="array" ref="Q952">IF($R952&lt;&gt;"",IFERROR(INDEX(ISIN!$B:$B,MATCH($R952,ISIN!$C:$C,0))),)</f>
        <v/>
      </c>
      <c r="R952" s="36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5" t="str">
        <f t="shared" si="1"/>
        <v/>
      </c>
      <c r="T952" s="37" t="str">
        <f t="shared" si="2"/>
        <v/>
      </c>
      <c r="U952" s="38" t="str">
        <f t="shared" si="3"/>
        <v/>
      </c>
      <c r="V952" s="32" t="str">
        <f t="shared" si="4"/>
        <v/>
      </c>
      <c r="W952" s="39" t="str">
        <f>IFERROR(__xludf.DUMMYFUNCTION(" IF(Account!$F952&lt;&gt;"""", SPLIT(Account!$F952, "" ""), """")"),"")</f>
        <v/>
      </c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</row>
    <row r="953">
      <c r="A953" s="12"/>
      <c r="B953" s="12"/>
      <c r="C953" s="12"/>
      <c r="D953" s="12"/>
      <c r="E953" s="12"/>
      <c r="F953" s="13"/>
      <c r="G953" s="12"/>
      <c r="H953" s="12"/>
      <c r="I953" s="12"/>
      <c r="J953" s="12"/>
      <c r="K953" s="12"/>
      <c r="L953" s="13"/>
      <c r="M953" s="30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2" t="str">
        <f>IFERROR(__xludf.DUMMYFUNCTION("IF(Account!$F953&lt;&gt;"""", VALUE(REGEXREPLACE($I953, ""\,"", ""."")), """")"),"")</f>
        <v/>
      </c>
      <c r="O953" s="33" t="str">
        <f>IF(Account!$F953&lt;&gt;"", DATEVALUE(MID($A953,4,3) &amp; LEFT($A953,3) &amp; RIGHT($A953,4)) + TIMEVALUE($B953), "")</f>
        <v/>
      </c>
      <c r="P953" s="34" t="str">
        <f>IF(Account!$F953&lt;&gt;"", DATEVALUE(MID($C953,4,3) &amp; LEFT($C953,3) &amp; RIGHT($C953,4)), "")</f>
        <v/>
      </c>
      <c r="Q953" s="35" t="str">
        <f t="array" ref="Q953">IF($R953&lt;&gt;"",IFERROR(INDEX(ISIN!$B:$B,MATCH($R953,ISIN!$C:$C,0))),)</f>
        <v/>
      </c>
      <c r="R953" s="36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5" t="str">
        <f t="shared" si="1"/>
        <v/>
      </c>
      <c r="T953" s="37" t="str">
        <f t="shared" si="2"/>
        <v/>
      </c>
      <c r="U953" s="38" t="str">
        <f t="shared" si="3"/>
        <v/>
      </c>
      <c r="V953" s="32" t="str">
        <f t="shared" si="4"/>
        <v/>
      </c>
      <c r="W953" s="39" t="str">
        <f>IFERROR(__xludf.DUMMYFUNCTION(" IF(Account!$F953&lt;&gt;"""", SPLIT(Account!$F953, "" ""), """")"),"")</f>
        <v/>
      </c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</row>
    <row r="954">
      <c r="A954" s="12"/>
      <c r="B954" s="12"/>
      <c r="C954" s="12"/>
      <c r="D954" s="12"/>
      <c r="E954" s="12"/>
      <c r="F954" s="13"/>
      <c r="G954" s="291"/>
      <c r="H954" s="12"/>
      <c r="I954" s="12"/>
      <c r="J954" s="12"/>
      <c r="K954" s="12"/>
      <c r="L954" s="13"/>
      <c r="M954" s="30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2" t="str">
        <f>IFERROR(__xludf.DUMMYFUNCTION("IF(Account!$F954&lt;&gt;"""", VALUE(REGEXREPLACE($I954, ""\,"", ""."")), """")"),"")</f>
        <v/>
      </c>
      <c r="O954" s="33" t="str">
        <f>IF(Account!$F954&lt;&gt;"", DATEVALUE(MID($A954,4,3) &amp; LEFT($A954,3) &amp; RIGHT($A954,4)) + TIMEVALUE($B954), "")</f>
        <v/>
      </c>
      <c r="P954" s="34" t="str">
        <f>IF(Account!$F954&lt;&gt;"", DATEVALUE(MID($C954,4,3) &amp; LEFT($C954,3) &amp; RIGHT($C954,4)), "")</f>
        <v/>
      </c>
      <c r="Q954" s="35" t="str">
        <f t="array" ref="Q954">IF($R954&lt;&gt;"",IFERROR(INDEX(ISIN!$B:$B,MATCH($R954,ISIN!$C:$C,0))),)</f>
        <v/>
      </c>
      <c r="R954" s="36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5" t="str">
        <f t="shared" si="1"/>
        <v/>
      </c>
      <c r="T954" s="37" t="str">
        <f t="shared" si="2"/>
        <v/>
      </c>
      <c r="U954" s="38" t="str">
        <f t="shared" si="3"/>
        <v/>
      </c>
      <c r="V954" s="32" t="str">
        <f t="shared" si="4"/>
        <v/>
      </c>
      <c r="W954" s="39" t="str">
        <f>IFERROR(__xludf.DUMMYFUNCTION(" IF(Account!$F954&lt;&gt;"""", SPLIT(Account!$F954, "" ""), """")"),"")</f>
        <v/>
      </c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</row>
    <row r="955">
      <c r="A955" s="12"/>
      <c r="B955" s="12"/>
      <c r="C955" s="12"/>
      <c r="D955" s="12"/>
      <c r="E955" s="12"/>
      <c r="F955" s="13"/>
      <c r="G955" s="12"/>
      <c r="H955" s="12"/>
      <c r="I955" s="12"/>
      <c r="J955" s="12"/>
      <c r="K955" s="12"/>
      <c r="L955" s="13"/>
      <c r="M955" s="30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2" t="str">
        <f>IFERROR(__xludf.DUMMYFUNCTION("IF(Account!$F955&lt;&gt;"""", VALUE(REGEXREPLACE($I955, ""\,"", ""."")), """")"),"")</f>
        <v/>
      </c>
      <c r="O955" s="33" t="str">
        <f>IF(Account!$F955&lt;&gt;"", DATEVALUE(MID($A955,4,3) &amp; LEFT($A955,3) &amp; RIGHT($A955,4)) + TIMEVALUE($B955), "")</f>
        <v/>
      </c>
      <c r="P955" s="34" t="str">
        <f>IF(Account!$F955&lt;&gt;"", DATEVALUE(MID($C955,4,3) &amp; LEFT($C955,3) &amp; RIGHT($C955,4)), "")</f>
        <v/>
      </c>
      <c r="Q955" s="35" t="str">
        <f t="array" ref="Q955">IF($R955&lt;&gt;"",IFERROR(INDEX(ISIN!$B:$B,MATCH($R955,ISIN!$C:$C,0))),)</f>
        <v/>
      </c>
      <c r="R955" s="36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5" t="str">
        <f t="shared" si="1"/>
        <v/>
      </c>
      <c r="T955" s="37" t="str">
        <f t="shared" si="2"/>
        <v/>
      </c>
      <c r="U955" s="38" t="str">
        <f t="shared" si="3"/>
        <v/>
      </c>
      <c r="V955" s="32" t="str">
        <f t="shared" si="4"/>
        <v/>
      </c>
      <c r="W955" s="39" t="str">
        <f>IFERROR(__xludf.DUMMYFUNCTION(" IF(Account!$F955&lt;&gt;"""", SPLIT(Account!$F955, "" ""), """")"),"")</f>
        <v/>
      </c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</row>
    <row r="956">
      <c r="A956" s="12"/>
      <c r="B956" s="12"/>
      <c r="C956" s="12"/>
      <c r="D956" s="12"/>
      <c r="E956" s="12"/>
      <c r="F956" s="13"/>
      <c r="G956" s="291"/>
      <c r="H956" s="12"/>
      <c r="I956" s="12"/>
      <c r="J956" s="12"/>
      <c r="K956" s="12"/>
      <c r="L956" s="13"/>
      <c r="M956" s="30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2" t="str">
        <f>IFERROR(__xludf.DUMMYFUNCTION("IF(Account!$F956&lt;&gt;"""", VALUE(REGEXREPLACE($I956, ""\,"", ""."")), """")"),"")</f>
        <v/>
      </c>
      <c r="O956" s="33" t="str">
        <f>IF(Account!$F956&lt;&gt;"", DATEVALUE(MID($A956,4,3) &amp; LEFT($A956,3) &amp; RIGHT($A956,4)) + TIMEVALUE($B956), "")</f>
        <v/>
      </c>
      <c r="P956" s="34" t="str">
        <f>IF(Account!$F956&lt;&gt;"", DATEVALUE(MID($C956,4,3) &amp; LEFT($C956,3) &amp; RIGHT($C956,4)), "")</f>
        <v/>
      </c>
      <c r="Q956" s="35" t="str">
        <f t="array" ref="Q956">IF($R956&lt;&gt;"",IFERROR(INDEX(ISIN!$B:$B,MATCH($R956,ISIN!$C:$C,0))),)</f>
        <v/>
      </c>
      <c r="R956" s="36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5" t="str">
        <f t="shared" si="1"/>
        <v/>
      </c>
      <c r="T956" s="37" t="str">
        <f t="shared" si="2"/>
        <v/>
      </c>
      <c r="U956" s="38" t="str">
        <f t="shared" si="3"/>
        <v/>
      </c>
      <c r="V956" s="32" t="str">
        <f t="shared" si="4"/>
        <v/>
      </c>
      <c r="W956" s="39" t="str">
        <f>IFERROR(__xludf.DUMMYFUNCTION(" IF(Account!$F956&lt;&gt;"""", SPLIT(Account!$F956, "" ""), """")"),"")</f>
        <v/>
      </c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</row>
    <row r="957">
      <c r="A957" s="12"/>
      <c r="B957" s="12"/>
      <c r="C957" s="12"/>
      <c r="D957" s="12"/>
      <c r="E957" s="12"/>
      <c r="F957" s="13"/>
      <c r="G957" s="12"/>
      <c r="H957" s="12"/>
      <c r="I957" s="12"/>
      <c r="J957" s="12"/>
      <c r="K957" s="12"/>
      <c r="L957" s="13"/>
      <c r="M957" s="30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2" t="str">
        <f>IFERROR(__xludf.DUMMYFUNCTION("IF(Account!$F957&lt;&gt;"""", VALUE(REGEXREPLACE($I957, ""\,"", ""."")), """")"),"")</f>
        <v/>
      </c>
      <c r="O957" s="33" t="str">
        <f>IF(Account!$F957&lt;&gt;"", DATEVALUE(MID($A957,4,3) &amp; LEFT($A957,3) &amp; RIGHT($A957,4)) + TIMEVALUE($B957), "")</f>
        <v/>
      </c>
      <c r="P957" s="34" t="str">
        <f>IF(Account!$F957&lt;&gt;"", DATEVALUE(MID($C957,4,3) &amp; LEFT($C957,3) &amp; RIGHT($C957,4)), "")</f>
        <v/>
      </c>
      <c r="Q957" s="35" t="str">
        <f t="array" ref="Q957">IF($R957&lt;&gt;"",IFERROR(INDEX(ISIN!$B:$B,MATCH($R957,ISIN!$C:$C,0))),)</f>
        <v/>
      </c>
      <c r="R957" s="36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5" t="str">
        <f t="shared" si="1"/>
        <v/>
      </c>
      <c r="T957" s="37" t="str">
        <f t="shared" si="2"/>
        <v/>
      </c>
      <c r="U957" s="38" t="str">
        <f t="shared" si="3"/>
        <v/>
      </c>
      <c r="V957" s="32" t="str">
        <f t="shared" si="4"/>
        <v/>
      </c>
      <c r="W957" s="39" t="str">
        <f>IFERROR(__xludf.DUMMYFUNCTION(" IF(Account!$F957&lt;&gt;"""", SPLIT(Account!$F957, "" ""), """")"),"")</f>
        <v/>
      </c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</row>
    <row r="958">
      <c r="A958" s="12"/>
      <c r="B958" s="12"/>
      <c r="C958" s="12"/>
      <c r="D958" s="12"/>
      <c r="E958" s="12"/>
      <c r="F958" s="13"/>
      <c r="G958" s="291"/>
      <c r="H958" s="12"/>
      <c r="I958" s="12"/>
      <c r="J958" s="12"/>
      <c r="K958" s="12"/>
      <c r="L958" s="13"/>
      <c r="M958" s="30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2" t="str">
        <f>IFERROR(__xludf.DUMMYFUNCTION("IF(Account!$F958&lt;&gt;"""", VALUE(REGEXREPLACE($I958, ""\,"", ""."")), """")"),"")</f>
        <v/>
      </c>
      <c r="O958" s="33" t="str">
        <f>IF(Account!$F958&lt;&gt;"", DATEVALUE(MID($A958,4,3) &amp; LEFT($A958,3) &amp; RIGHT($A958,4)) + TIMEVALUE($B958), "")</f>
        <v/>
      </c>
      <c r="P958" s="34" t="str">
        <f>IF(Account!$F958&lt;&gt;"", DATEVALUE(MID($C958,4,3) &amp; LEFT($C958,3) &amp; RIGHT($C958,4)), "")</f>
        <v/>
      </c>
      <c r="Q958" s="35" t="str">
        <f t="array" ref="Q958">IF($R958&lt;&gt;"",IFERROR(INDEX(ISIN!$B:$B,MATCH($R958,ISIN!$C:$C,0))),)</f>
        <v/>
      </c>
      <c r="R958" s="36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5" t="str">
        <f t="shared" si="1"/>
        <v/>
      </c>
      <c r="T958" s="37" t="str">
        <f t="shared" si="2"/>
        <v/>
      </c>
      <c r="U958" s="38" t="str">
        <f t="shared" si="3"/>
        <v/>
      </c>
      <c r="V958" s="32" t="str">
        <f t="shared" si="4"/>
        <v/>
      </c>
      <c r="W958" s="39" t="str">
        <f>IFERROR(__xludf.DUMMYFUNCTION(" IF(Account!$F958&lt;&gt;"""", SPLIT(Account!$F958, "" ""), """")"),"")</f>
        <v/>
      </c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</row>
    <row r="959">
      <c r="A959" s="12"/>
      <c r="B959" s="12"/>
      <c r="C959" s="12"/>
      <c r="D959" s="12"/>
      <c r="E959" s="12"/>
      <c r="F959" s="13"/>
      <c r="G959" s="12"/>
      <c r="H959" s="12"/>
      <c r="I959" s="12"/>
      <c r="J959" s="12"/>
      <c r="K959" s="12"/>
      <c r="L959" s="13"/>
      <c r="M959" s="30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2" t="str">
        <f>IFERROR(__xludf.DUMMYFUNCTION("IF(Account!$F959&lt;&gt;"""", VALUE(REGEXREPLACE($I959, ""\,"", ""."")), """")"),"")</f>
        <v/>
      </c>
      <c r="O959" s="33" t="str">
        <f>IF(Account!$F959&lt;&gt;"", DATEVALUE(MID($A959,4,3) &amp; LEFT($A959,3) &amp; RIGHT($A959,4)) + TIMEVALUE($B959), "")</f>
        <v/>
      </c>
      <c r="P959" s="34" t="str">
        <f>IF(Account!$F959&lt;&gt;"", DATEVALUE(MID($C959,4,3) &amp; LEFT($C959,3) &amp; RIGHT($C959,4)), "")</f>
        <v/>
      </c>
      <c r="Q959" s="35" t="str">
        <f t="array" ref="Q959">IF($R959&lt;&gt;"",IFERROR(INDEX(ISIN!$B:$B,MATCH($R959,ISIN!$C:$C,0))),)</f>
        <v/>
      </c>
      <c r="R959" s="36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5" t="str">
        <f t="shared" si="1"/>
        <v/>
      </c>
      <c r="T959" s="37" t="str">
        <f t="shared" si="2"/>
        <v/>
      </c>
      <c r="U959" s="38" t="str">
        <f t="shared" si="3"/>
        <v/>
      </c>
      <c r="V959" s="32" t="str">
        <f t="shared" si="4"/>
        <v/>
      </c>
      <c r="W959" s="39" t="str">
        <f>IFERROR(__xludf.DUMMYFUNCTION(" IF(Account!$F959&lt;&gt;"""", SPLIT(Account!$F959, "" ""), """")"),"")</f>
        <v/>
      </c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</row>
    <row r="960">
      <c r="A960" s="12"/>
      <c r="B960" s="12"/>
      <c r="C960" s="12"/>
      <c r="D960" s="12"/>
      <c r="E960" s="12"/>
      <c r="F960" s="13"/>
      <c r="G960" s="291"/>
      <c r="H960" s="12"/>
      <c r="I960" s="12"/>
      <c r="J960" s="12"/>
      <c r="K960" s="12"/>
      <c r="L960" s="13"/>
      <c r="M960" s="30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2" t="str">
        <f>IFERROR(__xludf.DUMMYFUNCTION("IF(Account!$F960&lt;&gt;"""", VALUE(REGEXREPLACE($I960, ""\,"", ""."")), """")"),"")</f>
        <v/>
      </c>
      <c r="O960" s="33" t="str">
        <f>IF(Account!$F960&lt;&gt;"", DATEVALUE(MID($A960,4,3) &amp; LEFT($A960,3) &amp; RIGHT($A960,4)) + TIMEVALUE($B960), "")</f>
        <v/>
      </c>
      <c r="P960" s="34" t="str">
        <f>IF(Account!$F960&lt;&gt;"", DATEVALUE(MID($C960,4,3) &amp; LEFT($C960,3) &amp; RIGHT($C960,4)), "")</f>
        <v/>
      </c>
      <c r="Q960" s="35" t="str">
        <f t="array" ref="Q960">IF($R960&lt;&gt;"",IFERROR(INDEX(ISIN!$B:$B,MATCH($R960,ISIN!$C:$C,0))),)</f>
        <v/>
      </c>
      <c r="R960" s="36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5" t="str">
        <f t="shared" si="1"/>
        <v/>
      </c>
      <c r="T960" s="37" t="str">
        <f t="shared" si="2"/>
        <v/>
      </c>
      <c r="U960" s="38" t="str">
        <f t="shared" si="3"/>
        <v/>
      </c>
      <c r="V960" s="32" t="str">
        <f t="shared" si="4"/>
        <v/>
      </c>
      <c r="W960" s="39" t="str">
        <f>IFERROR(__xludf.DUMMYFUNCTION(" IF(Account!$F960&lt;&gt;"""", SPLIT(Account!$F960, "" ""), """")"),"")</f>
        <v/>
      </c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</row>
    <row r="961">
      <c r="A961" s="12"/>
      <c r="B961" s="12"/>
      <c r="C961" s="12"/>
      <c r="D961" s="12"/>
      <c r="E961" s="12"/>
      <c r="F961" s="13"/>
      <c r="G961" s="291"/>
      <c r="H961" s="12"/>
      <c r="I961" s="12"/>
      <c r="J961" s="12"/>
      <c r="K961" s="12"/>
      <c r="L961" s="13"/>
      <c r="M961" s="30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2" t="str">
        <f>IFERROR(__xludf.DUMMYFUNCTION("IF(Account!$F961&lt;&gt;"""", VALUE(REGEXREPLACE($I961, ""\,"", ""."")), """")"),"")</f>
        <v/>
      </c>
      <c r="O961" s="33" t="str">
        <f>IF(Account!$F961&lt;&gt;"", DATEVALUE(MID($A961,4,3) &amp; LEFT($A961,3) &amp; RIGHT($A961,4)) + TIMEVALUE($B961), "")</f>
        <v/>
      </c>
      <c r="P961" s="34" t="str">
        <f>IF(Account!$F961&lt;&gt;"", DATEVALUE(MID($C961,4,3) &amp; LEFT($C961,3) &amp; RIGHT($C961,4)), "")</f>
        <v/>
      </c>
      <c r="Q961" s="35" t="str">
        <f t="array" ref="Q961">IF($R961&lt;&gt;"",IFERROR(INDEX(ISIN!$B:$B,MATCH($R961,ISIN!$C:$C,0))),)</f>
        <v/>
      </c>
      <c r="R961" s="36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5" t="str">
        <f t="shared" si="1"/>
        <v/>
      </c>
      <c r="T961" s="37" t="str">
        <f t="shared" si="2"/>
        <v/>
      </c>
      <c r="U961" s="38" t="str">
        <f t="shared" si="3"/>
        <v/>
      </c>
      <c r="V961" s="32" t="str">
        <f t="shared" si="4"/>
        <v/>
      </c>
      <c r="W961" s="39" t="str">
        <f>IFERROR(__xludf.DUMMYFUNCTION(" IF(Account!$F961&lt;&gt;"""", SPLIT(Account!$F961, "" ""), """")"),"")</f>
        <v/>
      </c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</row>
    <row r="962">
      <c r="A962" s="12"/>
      <c r="B962" s="12"/>
      <c r="C962" s="12"/>
      <c r="D962" s="12"/>
      <c r="E962" s="12"/>
      <c r="F962" s="13"/>
      <c r="G962" s="291"/>
      <c r="H962" s="12"/>
      <c r="I962" s="12"/>
      <c r="J962" s="12"/>
      <c r="K962" s="12"/>
      <c r="L962" s="13"/>
      <c r="M962" s="30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2" t="str">
        <f>IFERROR(__xludf.DUMMYFUNCTION("IF(Account!$F962&lt;&gt;"""", VALUE(REGEXREPLACE($I962, ""\,"", ""."")), """")"),"")</f>
        <v/>
      </c>
      <c r="O962" s="33" t="str">
        <f>IF(Account!$F962&lt;&gt;"", DATEVALUE(MID($A962,4,3) &amp; LEFT($A962,3) &amp; RIGHT($A962,4)) + TIMEVALUE($B962), "")</f>
        <v/>
      </c>
      <c r="P962" s="34" t="str">
        <f>IF(Account!$F962&lt;&gt;"", DATEVALUE(MID($C962,4,3) &amp; LEFT($C962,3) &amp; RIGHT($C962,4)), "")</f>
        <v/>
      </c>
      <c r="Q962" s="35" t="str">
        <f t="array" ref="Q962">IF($R962&lt;&gt;"",IFERROR(INDEX(ISIN!$B:$B,MATCH($R962,ISIN!$C:$C,0))),)</f>
        <v/>
      </c>
      <c r="R962" s="36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5" t="str">
        <f t="shared" si="1"/>
        <v/>
      </c>
      <c r="T962" s="37" t="str">
        <f t="shared" si="2"/>
        <v/>
      </c>
      <c r="U962" s="38" t="str">
        <f t="shared" si="3"/>
        <v/>
      </c>
      <c r="V962" s="32" t="str">
        <f t="shared" si="4"/>
        <v/>
      </c>
      <c r="W962" s="39" t="str">
        <f>IFERROR(__xludf.DUMMYFUNCTION(" IF(Account!$F962&lt;&gt;"""", SPLIT(Account!$F962, "" ""), """")"),"")</f>
        <v/>
      </c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</row>
    <row r="963">
      <c r="A963" s="12"/>
      <c r="B963" s="12"/>
      <c r="C963" s="12"/>
      <c r="D963" s="12"/>
      <c r="E963" s="12"/>
      <c r="F963" s="13"/>
      <c r="G963" s="291"/>
      <c r="H963" s="12"/>
      <c r="I963" s="12"/>
      <c r="J963" s="12"/>
      <c r="K963" s="12"/>
      <c r="L963" s="13"/>
      <c r="M963" s="30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2" t="str">
        <f>IFERROR(__xludf.DUMMYFUNCTION("IF(Account!$F963&lt;&gt;"""", VALUE(REGEXREPLACE($I963, ""\,"", ""."")), """")"),"")</f>
        <v/>
      </c>
      <c r="O963" s="33" t="str">
        <f>IF(Account!$F963&lt;&gt;"", DATEVALUE(MID($A963,4,3) &amp; LEFT($A963,3) &amp; RIGHT($A963,4)) + TIMEVALUE($B963), "")</f>
        <v/>
      </c>
      <c r="P963" s="34" t="str">
        <f>IF(Account!$F963&lt;&gt;"", DATEVALUE(MID($C963,4,3) &amp; LEFT($C963,3) &amp; RIGHT($C963,4)), "")</f>
        <v/>
      </c>
      <c r="Q963" s="35" t="str">
        <f t="array" ref="Q963">IF($R963&lt;&gt;"",IFERROR(INDEX(ISIN!$B:$B,MATCH($R963,ISIN!$C:$C,0))),)</f>
        <v/>
      </c>
      <c r="R963" s="36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5" t="str">
        <f t="shared" si="1"/>
        <v/>
      </c>
      <c r="T963" s="37" t="str">
        <f t="shared" si="2"/>
        <v/>
      </c>
      <c r="U963" s="38" t="str">
        <f t="shared" si="3"/>
        <v/>
      </c>
      <c r="V963" s="32" t="str">
        <f t="shared" si="4"/>
        <v/>
      </c>
      <c r="W963" s="39" t="str">
        <f>IFERROR(__xludf.DUMMYFUNCTION(" IF(Account!$F963&lt;&gt;"""", SPLIT(Account!$F963, "" ""), """")"),"")</f>
        <v/>
      </c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</row>
    <row r="964">
      <c r="A964" s="12"/>
      <c r="B964" s="12"/>
      <c r="C964" s="12"/>
      <c r="D964" s="12"/>
      <c r="E964" s="12"/>
      <c r="F964" s="13"/>
      <c r="G964" s="291"/>
      <c r="H964" s="12"/>
      <c r="I964" s="12"/>
      <c r="J964" s="12"/>
      <c r="K964" s="12"/>
      <c r="L964" s="13"/>
      <c r="M964" s="30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2" t="str">
        <f>IFERROR(__xludf.DUMMYFUNCTION("IF(Account!$F964&lt;&gt;"""", VALUE(REGEXREPLACE($I964, ""\,"", ""."")), """")"),"")</f>
        <v/>
      </c>
      <c r="O964" s="33" t="str">
        <f>IF(Account!$F964&lt;&gt;"", DATEVALUE(MID($A964,4,3) &amp; LEFT($A964,3) &amp; RIGHT($A964,4)) + TIMEVALUE($B964), "")</f>
        <v/>
      </c>
      <c r="P964" s="34" t="str">
        <f>IF(Account!$F964&lt;&gt;"", DATEVALUE(MID($C964,4,3) &amp; LEFT($C964,3) &amp; RIGHT($C964,4)), "")</f>
        <v/>
      </c>
      <c r="Q964" s="35" t="str">
        <f t="array" ref="Q964">IF($R964&lt;&gt;"",IFERROR(INDEX(ISIN!$B:$B,MATCH($R964,ISIN!$C:$C,0))),)</f>
        <v/>
      </c>
      <c r="R964" s="36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5" t="str">
        <f t="shared" si="1"/>
        <v/>
      </c>
      <c r="T964" s="37" t="str">
        <f t="shared" si="2"/>
        <v/>
      </c>
      <c r="U964" s="38" t="str">
        <f t="shared" si="3"/>
        <v/>
      </c>
      <c r="V964" s="32" t="str">
        <f t="shared" si="4"/>
        <v/>
      </c>
      <c r="W964" s="39" t="str">
        <f>IFERROR(__xludf.DUMMYFUNCTION(" IF(Account!$F964&lt;&gt;"""", SPLIT(Account!$F964, "" ""), """")"),"")</f>
        <v/>
      </c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</row>
    <row r="965">
      <c r="A965" s="12"/>
      <c r="B965" s="12"/>
      <c r="C965" s="12"/>
      <c r="D965" s="12"/>
      <c r="E965" s="12"/>
      <c r="F965" s="13"/>
      <c r="G965" s="291"/>
      <c r="H965" s="12"/>
      <c r="I965" s="12"/>
      <c r="J965" s="12"/>
      <c r="K965" s="12"/>
      <c r="L965" s="13"/>
      <c r="M965" s="30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2" t="str">
        <f>IFERROR(__xludf.DUMMYFUNCTION("IF(Account!$F965&lt;&gt;"""", VALUE(REGEXREPLACE($I965, ""\,"", ""."")), """")"),"")</f>
        <v/>
      </c>
      <c r="O965" s="33" t="str">
        <f>IF(Account!$F965&lt;&gt;"", DATEVALUE(MID($A965,4,3) &amp; LEFT($A965,3) &amp; RIGHT($A965,4)) + TIMEVALUE($B965), "")</f>
        <v/>
      </c>
      <c r="P965" s="34" t="str">
        <f>IF(Account!$F965&lt;&gt;"", DATEVALUE(MID($C965,4,3) &amp; LEFT($C965,3) &amp; RIGHT($C965,4)), "")</f>
        <v/>
      </c>
      <c r="Q965" s="35" t="str">
        <f t="array" ref="Q965">IF($R965&lt;&gt;"",IFERROR(INDEX(ISIN!$B:$B,MATCH($R965,ISIN!$C:$C,0))),)</f>
        <v/>
      </c>
      <c r="R965" s="36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5" t="str">
        <f t="shared" si="1"/>
        <v/>
      </c>
      <c r="T965" s="37" t="str">
        <f t="shared" si="2"/>
        <v/>
      </c>
      <c r="U965" s="38" t="str">
        <f t="shared" si="3"/>
        <v/>
      </c>
      <c r="V965" s="32" t="str">
        <f t="shared" si="4"/>
        <v/>
      </c>
      <c r="W965" s="39" t="str">
        <f>IFERROR(__xludf.DUMMYFUNCTION(" IF(Account!$F965&lt;&gt;"""", SPLIT(Account!$F965, "" ""), """")"),"")</f>
        <v/>
      </c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</row>
    <row r="966">
      <c r="A966" s="12"/>
      <c r="B966" s="12"/>
      <c r="C966" s="12"/>
      <c r="D966" s="12"/>
      <c r="E966" s="12"/>
      <c r="F966" s="13"/>
      <c r="G966" s="291"/>
      <c r="H966" s="12"/>
      <c r="I966" s="12"/>
      <c r="J966" s="12"/>
      <c r="K966" s="12"/>
      <c r="L966" s="13"/>
      <c r="M966" s="30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2" t="str">
        <f>IFERROR(__xludf.DUMMYFUNCTION("IF(Account!$F966&lt;&gt;"""", VALUE(REGEXREPLACE($I966, ""\,"", ""."")), """")"),"")</f>
        <v/>
      </c>
      <c r="O966" s="33" t="str">
        <f>IF(Account!$F966&lt;&gt;"", DATEVALUE(MID($A966,4,3) &amp; LEFT($A966,3) &amp; RIGHT($A966,4)) + TIMEVALUE($B966), "")</f>
        <v/>
      </c>
      <c r="P966" s="34" t="str">
        <f>IF(Account!$F966&lt;&gt;"", DATEVALUE(MID($C966,4,3) &amp; LEFT($C966,3) &amp; RIGHT($C966,4)), "")</f>
        <v/>
      </c>
      <c r="Q966" s="35" t="str">
        <f t="array" ref="Q966">IF($R966&lt;&gt;"",IFERROR(INDEX(ISIN!$B:$B,MATCH($R966,ISIN!$C:$C,0))),)</f>
        <v/>
      </c>
      <c r="R966" s="36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5" t="str">
        <f t="shared" si="1"/>
        <v/>
      </c>
      <c r="T966" s="37" t="str">
        <f t="shared" si="2"/>
        <v/>
      </c>
      <c r="U966" s="38" t="str">
        <f t="shared" si="3"/>
        <v/>
      </c>
      <c r="V966" s="32" t="str">
        <f t="shared" si="4"/>
        <v/>
      </c>
      <c r="W966" s="39" t="str">
        <f>IFERROR(__xludf.DUMMYFUNCTION(" IF(Account!$F966&lt;&gt;"""", SPLIT(Account!$F966, "" ""), """")"),"")</f>
        <v/>
      </c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</row>
    <row r="967">
      <c r="A967" s="12"/>
      <c r="B967" s="12"/>
      <c r="C967" s="12"/>
      <c r="D967" s="12"/>
      <c r="E967" s="12"/>
      <c r="F967" s="13"/>
      <c r="G967" s="291"/>
      <c r="H967" s="12"/>
      <c r="I967" s="12"/>
      <c r="J967" s="12"/>
      <c r="K967" s="12"/>
      <c r="L967" s="13"/>
      <c r="M967" s="30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2" t="str">
        <f>IFERROR(__xludf.DUMMYFUNCTION("IF(Account!$F967&lt;&gt;"""", VALUE(REGEXREPLACE($I967, ""\,"", ""."")), """")"),"")</f>
        <v/>
      </c>
      <c r="O967" s="33" t="str">
        <f>IF(Account!$F967&lt;&gt;"", DATEVALUE(MID($A967,4,3) &amp; LEFT($A967,3) &amp; RIGHT($A967,4)) + TIMEVALUE($B967), "")</f>
        <v/>
      </c>
      <c r="P967" s="34" t="str">
        <f>IF(Account!$F967&lt;&gt;"", DATEVALUE(MID($C967,4,3) &amp; LEFT($C967,3) &amp; RIGHT($C967,4)), "")</f>
        <v/>
      </c>
      <c r="Q967" s="35" t="str">
        <f t="array" ref="Q967">IF($R967&lt;&gt;"",IFERROR(INDEX(ISIN!$B:$B,MATCH($R967,ISIN!$C:$C,0))),)</f>
        <v/>
      </c>
      <c r="R967" s="36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5" t="str">
        <f t="shared" si="1"/>
        <v/>
      </c>
      <c r="T967" s="37" t="str">
        <f t="shared" si="2"/>
        <v/>
      </c>
      <c r="U967" s="38" t="str">
        <f t="shared" si="3"/>
        <v/>
      </c>
      <c r="V967" s="32" t="str">
        <f t="shared" si="4"/>
        <v/>
      </c>
      <c r="W967" s="39" t="str">
        <f>IFERROR(__xludf.DUMMYFUNCTION(" IF(Account!$F967&lt;&gt;"""", SPLIT(Account!$F967, "" ""), """")"),"")</f>
        <v/>
      </c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</row>
    <row r="968">
      <c r="A968" s="12"/>
      <c r="B968" s="12"/>
      <c r="C968" s="12"/>
      <c r="D968" s="12"/>
      <c r="E968" s="12"/>
      <c r="F968" s="13"/>
      <c r="G968" s="291"/>
      <c r="H968" s="12"/>
      <c r="I968" s="12"/>
      <c r="J968" s="12"/>
      <c r="K968" s="12"/>
      <c r="L968" s="13"/>
      <c r="M968" s="30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2" t="str">
        <f>IFERROR(__xludf.DUMMYFUNCTION("IF(Account!$F968&lt;&gt;"""", VALUE(REGEXREPLACE($I968, ""\,"", ""."")), """")"),"")</f>
        <v/>
      </c>
      <c r="O968" s="33" t="str">
        <f>IF(Account!$F968&lt;&gt;"", DATEVALUE(MID($A968,4,3) &amp; LEFT($A968,3) &amp; RIGHT($A968,4)) + TIMEVALUE($B968), "")</f>
        <v/>
      </c>
      <c r="P968" s="34" t="str">
        <f>IF(Account!$F968&lt;&gt;"", DATEVALUE(MID($C968,4,3) &amp; LEFT($C968,3) &amp; RIGHT($C968,4)), "")</f>
        <v/>
      </c>
      <c r="Q968" s="35" t="str">
        <f t="array" ref="Q968">IF($R968&lt;&gt;"",IFERROR(INDEX(ISIN!$B:$B,MATCH($R968,ISIN!$C:$C,0))),)</f>
        <v/>
      </c>
      <c r="R968" s="36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5" t="str">
        <f t="shared" si="1"/>
        <v/>
      </c>
      <c r="T968" s="37" t="str">
        <f t="shared" si="2"/>
        <v/>
      </c>
      <c r="U968" s="38" t="str">
        <f t="shared" si="3"/>
        <v/>
      </c>
      <c r="V968" s="32" t="str">
        <f t="shared" si="4"/>
        <v/>
      </c>
      <c r="W968" s="39" t="str">
        <f>IFERROR(__xludf.DUMMYFUNCTION(" IF(Account!$F968&lt;&gt;"""", SPLIT(Account!$F968, "" ""), """")"),"")</f>
        <v/>
      </c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</row>
    <row r="969">
      <c r="A969" s="12"/>
      <c r="B969" s="12"/>
      <c r="C969" s="12"/>
      <c r="D969" s="12"/>
      <c r="E969" s="12"/>
      <c r="F969" s="13"/>
      <c r="G969" s="291"/>
      <c r="H969" s="12"/>
      <c r="I969" s="12"/>
      <c r="J969" s="12"/>
      <c r="K969" s="12"/>
      <c r="L969" s="13"/>
      <c r="M969" s="30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2" t="str">
        <f>IFERROR(__xludf.DUMMYFUNCTION("IF(Account!$F969&lt;&gt;"""", VALUE(REGEXREPLACE($I969, ""\,"", ""."")), """")"),"")</f>
        <v/>
      </c>
      <c r="O969" s="33" t="str">
        <f>IF(Account!$F969&lt;&gt;"", DATEVALUE(MID($A969,4,3) &amp; LEFT($A969,3) &amp; RIGHT($A969,4)) + TIMEVALUE($B969), "")</f>
        <v/>
      </c>
      <c r="P969" s="34" t="str">
        <f>IF(Account!$F969&lt;&gt;"", DATEVALUE(MID($C969,4,3) &amp; LEFT($C969,3) &amp; RIGHT($C969,4)), "")</f>
        <v/>
      </c>
      <c r="Q969" s="35" t="str">
        <f t="array" ref="Q969">IF($R969&lt;&gt;"",IFERROR(INDEX(ISIN!$B:$B,MATCH($R969,ISIN!$C:$C,0))),)</f>
        <v/>
      </c>
      <c r="R969" s="36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5" t="str">
        <f t="shared" si="1"/>
        <v/>
      </c>
      <c r="T969" s="37" t="str">
        <f t="shared" si="2"/>
        <v/>
      </c>
      <c r="U969" s="38" t="str">
        <f t="shared" si="3"/>
        <v/>
      </c>
      <c r="V969" s="32" t="str">
        <f t="shared" si="4"/>
        <v/>
      </c>
      <c r="W969" s="39" t="str">
        <f>IFERROR(__xludf.DUMMYFUNCTION(" IF(Account!$F969&lt;&gt;"""", SPLIT(Account!$F969, "" ""), """")"),"")</f>
        <v/>
      </c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</row>
    <row r="970">
      <c r="A970" s="12"/>
      <c r="B970" s="12"/>
      <c r="C970" s="12"/>
      <c r="D970" s="12"/>
      <c r="E970" s="12"/>
      <c r="F970" s="13"/>
      <c r="G970" s="12"/>
      <c r="H970" s="12"/>
      <c r="I970" s="12"/>
      <c r="J970" s="12"/>
      <c r="K970" s="12"/>
      <c r="L970" s="13"/>
      <c r="M970" s="30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2" t="str">
        <f>IFERROR(__xludf.DUMMYFUNCTION("IF(Account!$F970&lt;&gt;"""", VALUE(REGEXREPLACE($I970, ""\,"", ""."")), """")"),"")</f>
        <v/>
      </c>
      <c r="O970" s="33" t="str">
        <f>IF(Account!$F970&lt;&gt;"", DATEVALUE(MID($A970,4,3) &amp; LEFT($A970,3) &amp; RIGHT($A970,4)) + TIMEVALUE($B970), "")</f>
        <v/>
      </c>
      <c r="P970" s="34" t="str">
        <f>IF(Account!$F970&lt;&gt;"", DATEVALUE(MID($C970,4,3) &amp; LEFT($C970,3) &amp; RIGHT($C970,4)), "")</f>
        <v/>
      </c>
      <c r="Q970" s="35" t="str">
        <f t="array" ref="Q970">IF($R970&lt;&gt;"",IFERROR(INDEX(ISIN!$B:$B,MATCH($R970,ISIN!$C:$C,0))),)</f>
        <v/>
      </c>
      <c r="R970" s="36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5" t="str">
        <f t="shared" si="1"/>
        <v/>
      </c>
      <c r="T970" s="37" t="str">
        <f t="shared" si="2"/>
        <v/>
      </c>
      <c r="U970" s="38" t="str">
        <f t="shared" si="3"/>
        <v/>
      </c>
      <c r="V970" s="32" t="str">
        <f t="shared" si="4"/>
        <v/>
      </c>
      <c r="W970" s="39" t="str">
        <f>IFERROR(__xludf.DUMMYFUNCTION(" IF(Account!$F970&lt;&gt;"""", SPLIT(Account!$F970, "" ""), """")"),"")</f>
        <v/>
      </c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</row>
    <row r="971">
      <c r="A971" s="12"/>
      <c r="B971" s="12"/>
      <c r="C971" s="12"/>
      <c r="D971" s="12"/>
      <c r="E971" s="12"/>
      <c r="F971" s="13"/>
      <c r="G971" s="291"/>
      <c r="H971" s="12"/>
      <c r="I971" s="12"/>
      <c r="J971" s="12"/>
      <c r="K971" s="12"/>
      <c r="L971" s="13"/>
      <c r="M971" s="30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2" t="str">
        <f>IFERROR(__xludf.DUMMYFUNCTION("IF(Account!$F971&lt;&gt;"""", VALUE(REGEXREPLACE($I971, ""\,"", ""."")), """")"),"")</f>
        <v/>
      </c>
      <c r="O971" s="33" t="str">
        <f>IF(Account!$F971&lt;&gt;"", DATEVALUE(MID($A971,4,3) &amp; LEFT($A971,3) &amp; RIGHT($A971,4)) + TIMEVALUE($B971), "")</f>
        <v/>
      </c>
      <c r="P971" s="34" t="str">
        <f>IF(Account!$F971&lt;&gt;"", DATEVALUE(MID($C971,4,3) &amp; LEFT($C971,3) &amp; RIGHT($C971,4)), "")</f>
        <v/>
      </c>
      <c r="Q971" s="35" t="str">
        <f t="array" ref="Q971">IF($R971&lt;&gt;"",IFERROR(INDEX(ISIN!$B:$B,MATCH($R971,ISIN!$C:$C,0))),)</f>
        <v/>
      </c>
      <c r="R971" s="36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5" t="str">
        <f t="shared" si="1"/>
        <v/>
      </c>
      <c r="T971" s="37" t="str">
        <f t="shared" si="2"/>
        <v/>
      </c>
      <c r="U971" s="38" t="str">
        <f t="shared" si="3"/>
        <v/>
      </c>
      <c r="V971" s="32" t="str">
        <f t="shared" si="4"/>
        <v/>
      </c>
      <c r="W971" s="39" t="str">
        <f>IFERROR(__xludf.DUMMYFUNCTION(" IF(Account!$F971&lt;&gt;"""", SPLIT(Account!$F971, "" ""), """")"),"")</f>
        <v/>
      </c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</row>
    <row r="972">
      <c r="A972" s="12"/>
      <c r="B972" s="12"/>
      <c r="C972" s="12"/>
      <c r="D972" s="12"/>
      <c r="E972" s="12"/>
      <c r="F972" s="13"/>
      <c r="G972" s="12"/>
      <c r="H972" s="12"/>
      <c r="I972" s="12"/>
      <c r="J972" s="12"/>
      <c r="K972" s="12"/>
      <c r="L972" s="13"/>
      <c r="M972" s="30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2" t="str">
        <f>IFERROR(__xludf.DUMMYFUNCTION("IF(Account!$F972&lt;&gt;"""", VALUE(REGEXREPLACE($I972, ""\,"", ""."")), """")"),"")</f>
        <v/>
      </c>
      <c r="O972" s="33" t="str">
        <f>IF(Account!$F972&lt;&gt;"", DATEVALUE(MID($A972,4,3) &amp; LEFT($A972,3) &amp; RIGHT($A972,4)) + TIMEVALUE($B972), "")</f>
        <v/>
      </c>
      <c r="P972" s="34" t="str">
        <f>IF(Account!$F972&lt;&gt;"", DATEVALUE(MID($C972,4,3) &amp; LEFT($C972,3) &amp; RIGHT($C972,4)), "")</f>
        <v/>
      </c>
      <c r="Q972" s="35" t="str">
        <f t="array" ref="Q972">IF($R972&lt;&gt;"",IFERROR(INDEX(ISIN!$B:$B,MATCH($R972,ISIN!$C:$C,0))),)</f>
        <v/>
      </c>
      <c r="R972" s="36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5" t="str">
        <f t="shared" si="1"/>
        <v/>
      </c>
      <c r="T972" s="37" t="str">
        <f t="shared" si="2"/>
        <v/>
      </c>
      <c r="U972" s="38" t="str">
        <f t="shared" si="3"/>
        <v/>
      </c>
      <c r="V972" s="32" t="str">
        <f t="shared" si="4"/>
        <v/>
      </c>
      <c r="W972" s="39" t="str">
        <f>IFERROR(__xludf.DUMMYFUNCTION(" IF(Account!$F972&lt;&gt;"""", SPLIT(Account!$F972, "" ""), """")"),"")</f>
        <v/>
      </c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</row>
    <row r="973">
      <c r="A973" s="12"/>
      <c r="B973" s="12"/>
      <c r="C973" s="12"/>
      <c r="D973" s="12"/>
      <c r="E973" s="12"/>
      <c r="F973" s="13"/>
      <c r="G973" s="291"/>
      <c r="H973" s="12"/>
      <c r="I973" s="12"/>
      <c r="J973" s="12"/>
      <c r="K973" s="12"/>
      <c r="L973" s="13"/>
      <c r="M973" s="30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2" t="str">
        <f>IFERROR(__xludf.DUMMYFUNCTION("IF(Account!$F973&lt;&gt;"""", VALUE(REGEXREPLACE($I973, ""\,"", ""."")), """")"),"")</f>
        <v/>
      </c>
      <c r="O973" s="33" t="str">
        <f>IF(Account!$F973&lt;&gt;"", DATEVALUE(MID($A973,4,3) &amp; LEFT($A973,3) &amp; RIGHT($A973,4)) + TIMEVALUE($B973), "")</f>
        <v/>
      </c>
      <c r="P973" s="34" t="str">
        <f>IF(Account!$F973&lt;&gt;"", DATEVALUE(MID($C973,4,3) &amp; LEFT($C973,3) &amp; RIGHT($C973,4)), "")</f>
        <v/>
      </c>
      <c r="Q973" s="35" t="str">
        <f t="array" ref="Q973">IF($R973&lt;&gt;"",IFERROR(INDEX(ISIN!$B:$B,MATCH($R973,ISIN!$C:$C,0))),)</f>
        <v/>
      </c>
      <c r="R973" s="36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5" t="str">
        <f t="shared" si="1"/>
        <v/>
      </c>
      <c r="T973" s="37" t="str">
        <f t="shared" si="2"/>
        <v/>
      </c>
      <c r="U973" s="38" t="str">
        <f t="shared" si="3"/>
        <v/>
      </c>
      <c r="V973" s="32" t="str">
        <f t="shared" si="4"/>
        <v/>
      </c>
      <c r="W973" s="39" t="str">
        <f>IFERROR(__xludf.DUMMYFUNCTION(" IF(Account!$F973&lt;&gt;"""", SPLIT(Account!$F973, "" ""), """")"),"")</f>
        <v/>
      </c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</row>
    <row r="974">
      <c r="A974" s="12"/>
      <c r="B974" s="12"/>
      <c r="C974" s="12"/>
      <c r="D974" s="12"/>
      <c r="E974" s="12"/>
      <c r="F974" s="13"/>
      <c r="G974" s="12"/>
      <c r="H974" s="12"/>
      <c r="I974" s="12"/>
      <c r="J974" s="12"/>
      <c r="K974" s="12"/>
      <c r="L974" s="13"/>
      <c r="M974" s="30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2" t="str">
        <f>IFERROR(__xludf.DUMMYFUNCTION("IF(Account!$F974&lt;&gt;"""", VALUE(REGEXREPLACE($I974, ""\,"", ""."")), """")"),"")</f>
        <v/>
      </c>
      <c r="O974" s="33" t="str">
        <f>IF(Account!$F974&lt;&gt;"", DATEVALUE(MID($A974,4,3) &amp; LEFT($A974,3) &amp; RIGHT($A974,4)) + TIMEVALUE($B974), "")</f>
        <v/>
      </c>
      <c r="P974" s="34" t="str">
        <f>IF(Account!$F974&lt;&gt;"", DATEVALUE(MID($C974,4,3) &amp; LEFT($C974,3) &amp; RIGHT($C974,4)), "")</f>
        <v/>
      </c>
      <c r="Q974" s="35" t="str">
        <f t="array" ref="Q974">IF($R974&lt;&gt;"",IFERROR(INDEX(ISIN!$B:$B,MATCH($R974,ISIN!$C:$C,0))),)</f>
        <v/>
      </c>
      <c r="R974" s="36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5" t="str">
        <f t="shared" si="1"/>
        <v/>
      </c>
      <c r="T974" s="37" t="str">
        <f t="shared" si="2"/>
        <v/>
      </c>
      <c r="U974" s="38" t="str">
        <f t="shared" si="3"/>
        <v/>
      </c>
      <c r="V974" s="32" t="str">
        <f t="shared" si="4"/>
        <v/>
      </c>
      <c r="W974" s="39" t="str">
        <f>IFERROR(__xludf.DUMMYFUNCTION(" IF(Account!$F974&lt;&gt;"""", SPLIT(Account!$F974, "" ""), """")"),"")</f>
        <v/>
      </c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</row>
    <row r="975">
      <c r="A975" s="12"/>
      <c r="B975" s="12"/>
      <c r="C975" s="12"/>
      <c r="D975" s="12"/>
      <c r="E975" s="12"/>
      <c r="F975" s="13"/>
      <c r="G975" s="291"/>
      <c r="H975" s="12"/>
      <c r="I975" s="12"/>
      <c r="J975" s="12"/>
      <c r="K975" s="12"/>
      <c r="L975" s="13"/>
      <c r="M975" s="30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2" t="str">
        <f>IFERROR(__xludf.DUMMYFUNCTION("IF(Account!$F975&lt;&gt;"""", VALUE(REGEXREPLACE($I975, ""\,"", ""."")), """")"),"")</f>
        <v/>
      </c>
      <c r="O975" s="33" t="str">
        <f>IF(Account!$F975&lt;&gt;"", DATEVALUE(MID($A975,4,3) &amp; LEFT($A975,3) &amp; RIGHT($A975,4)) + TIMEVALUE($B975), "")</f>
        <v/>
      </c>
      <c r="P975" s="34" t="str">
        <f>IF(Account!$F975&lt;&gt;"", DATEVALUE(MID($C975,4,3) &amp; LEFT($C975,3) &amp; RIGHT($C975,4)), "")</f>
        <v/>
      </c>
      <c r="Q975" s="35" t="str">
        <f t="array" ref="Q975">IF($R975&lt;&gt;"",IFERROR(INDEX(ISIN!$B:$B,MATCH($R975,ISIN!$C:$C,0))),)</f>
        <v/>
      </c>
      <c r="R975" s="36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5" t="str">
        <f t="shared" si="1"/>
        <v/>
      </c>
      <c r="T975" s="37" t="str">
        <f t="shared" si="2"/>
        <v/>
      </c>
      <c r="U975" s="38" t="str">
        <f t="shared" si="3"/>
        <v/>
      </c>
      <c r="V975" s="32" t="str">
        <f t="shared" si="4"/>
        <v/>
      </c>
      <c r="W975" s="39" t="str">
        <f>IFERROR(__xludf.DUMMYFUNCTION(" IF(Account!$F975&lt;&gt;"""", SPLIT(Account!$F975, "" ""), """")"),"")</f>
        <v/>
      </c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</row>
    <row r="976">
      <c r="A976" s="12"/>
      <c r="B976" s="12"/>
      <c r="C976" s="12"/>
      <c r="D976" s="12"/>
      <c r="E976" s="12"/>
      <c r="F976" s="13"/>
      <c r="G976" s="12"/>
      <c r="H976" s="12"/>
      <c r="I976" s="12"/>
      <c r="J976" s="12"/>
      <c r="K976" s="12"/>
      <c r="L976" s="13"/>
      <c r="M976" s="30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2" t="str">
        <f>IFERROR(__xludf.DUMMYFUNCTION("IF(Account!$F976&lt;&gt;"""", VALUE(REGEXREPLACE($I976, ""\,"", ""."")), """")"),"")</f>
        <v/>
      </c>
      <c r="O976" s="33" t="str">
        <f>IF(Account!$F976&lt;&gt;"", DATEVALUE(MID($A976,4,3) &amp; LEFT($A976,3) &amp; RIGHT($A976,4)) + TIMEVALUE($B976), "")</f>
        <v/>
      </c>
      <c r="P976" s="34" t="str">
        <f>IF(Account!$F976&lt;&gt;"", DATEVALUE(MID($C976,4,3) &amp; LEFT($C976,3) &amp; RIGHT($C976,4)), "")</f>
        <v/>
      </c>
      <c r="Q976" s="35" t="str">
        <f t="array" ref="Q976">IF($R976&lt;&gt;"",IFERROR(INDEX(ISIN!$B:$B,MATCH($R976,ISIN!$C:$C,0))),)</f>
        <v/>
      </c>
      <c r="R976" s="36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5" t="str">
        <f t="shared" si="1"/>
        <v/>
      </c>
      <c r="T976" s="37" t="str">
        <f t="shared" si="2"/>
        <v/>
      </c>
      <c r="U976" s="38" t="str">
        <f t="shared" si="3"/>
        <v/>
      </c>
      <c r="V976" s="32" t="str">
        <f t="shared" si="4"/>
        <v/>
      </c>
      <c r="W976" s="39" t="str">
        <f>IFERROR(__xludf.DUMMYFUNCTION(" IF(Account!$F976&lt;&gt;"""", SPLIT(Account!$F976, "" ""), """")"),"")</f>
        <v/>
      </c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</row>
    <row r="977">
      <c r="A977" s="12"/>
      <c r="B977" s="12"/>
      <c r="C977" s="12"/>
      <c r="D977" s="12"/>
      <c r="E977" s="12"/>
      <c r="F977" s="13"/>
      <c r="G977" s="291"/>
      <c r="H977" s="12"/>
      <c r="I977" s="12"/>
      <c r="J977" s="12"/>
      <c r="K977" s="12"/>
      <c r="L977" s="13"/>
      <c r="M977" s="30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2" t="str">
        <f>IFERROR(__xludf.DUMMYFUNCTION("IF(Account!$F977&lt;&gt;"""", VALUE(REGEXREPLACE($I977, ""\,"", ""."")), """")"),"")</f>
        <v/>
      </c>
      <c r="O977" s="33" t="str">
        <f>IF(Account!$F977&lt;&gt;"", DATEVALUE(MID($A977,4,3) &amp; LEFT($A977,3) &amp; RIGHT($A977,4)) + TIMEVALUE($B977), "")</f>
        <v/>
      </c>
      <c r="P977" s="34" t="str">
        <f>IF(Account!$F977&lt;&gt;"", DATEVALUE(MID($C977,4,3) &amp; LEFT($C977,3) &amp; RIGHT($C977,4)), "")</f>
        <v/>
      </c>
      <c r="Q977" s="35" t="str">
        <f t="array" ref="Q977">IF($R977&lt;&gt;"",IFERROR(INDEX(ISIN!$B:$B,MATCH($R977,ISIN!$C:$C,0))),)</f>
        <v/>
      </c>
      <c r="R977" s="36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5" t="str">
        <f t="shared" si="1"/>
        <v/>
      </c>
      <c r="T977" s="37" t="str">
        <f t="shared" si="2"/>
        <v/>
      </c>
      <c r="U977" s="38" t="str">
        <f t="shared" si="3"/>
        <v/>
      </c>
      <c r="V977" s="32" t="str">
        <f t="shared" si="4"/>
        <v/>
      </c>
      <c r="W977" s="39" t="str">
        <f>IFERROR(__xludf.DUMMYFUNCTION(" IF(Account!$F977&lt;&gt;"""", SPLIT(Account!$F977, "" ""), """")"),"")</f>
        <v/>
      </c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</row>
    <row r="978">
      <c r="A978" s="12"/>
      <c r="B978" s="12"/>
      <c r="C978" s="12"/>
      <c r="D978" s="12"/>
      <c r="E978" s="12"/>
      <c r="F978" s="13"/>
      <c r="G978" s="12"/>
      <c r="H978" s="12"/>
      <c r="I978" s="12"/>
      <c r="J978" s="12"/>
      <c r="K978" s="12"/>
      <c r="L978" s="13"/>
      <c r="M978" s="30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2" t="str">
        <f>IFERROR(__xludf.DUMMYFUNCTION("IF(Account!$F978&lt;&gt;"""", VALUE(REGEXREPLACE($I978, ""\,"", ""."")), """")"),"")</f>
        <v/>
      </c>
      <c r="O978" s="33" t="str">
        <f>IF(Account!$F978&lt;&gt;"", DATEVALUE(MID($A978,4,3) &amp; LEFT($A978,3) &amp; RIGHT($A978,4)) + TIMEVALUE($B978), "")</f>
        <v/>
      </c>
      <c r="P978" s="34" t="str">
        <f>IF(Account!$F978&lt;&gt;"", DATEVALUE(MID($C978,4,3) &amp; LEFT($C978,3) &amp; RIGHT($C978,4)), "")</f>
        <v/>
      </c>
      <c r="Q978" s="35" t="str">
        <f t="array" ref="Q978">IF($R978&lt;&gt;"",IFERROR(INDEX(ISIN!$B:$B,MATCH($R978,ISIN!$C:$C,0))),)</f>
        <v/>
      </c>
      <c r="R978" s="36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5" t="str">
        <f t="shared" si="1"/>
        <v/>
      </c>
      <c r="T978" s="37" t="str">
        <f t="shared" si="2"/>
        <v/>
      </c>
      <c r="U978" s="38" t="str">
        <f t="shared" si="3"/>
        <v/>
      </c>
      <c r="V978" s="32" t="str">
        <f t="shared" si="4"/>
        <v/>
      </c>
      <c r="W978" s="39" t="str">
        <f>IFERROR(__xludf.DUMMYFUNCTION(" IF(Account!$F978&lt;&gt;"""", SPLIT(Account!$F978, "" ""), """")"),"")</f>
        <v/>
      </c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</row>
    <row r="979">
      <c r="A979" s="291"/>
      <c r="B979" s="291"/>
      <c r="C979" s="291"/>
      <c r="D979" s="291"/>
      <c r="E979" s="291"/>
      <c r="F979" s="335"/>
      <c r="G979" s="291"/>
      <c r="H979" s="291"/>
      <c r="I979" s="291"/>
      <c r="J979" s="291"/>
      <c r="K979" s="291"/>
      <c r="L979" s="13"/>
      <c r="M979" s="30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2" t="str">
        <f>IFERROR(__xludf.DUMMYFUNCTION("IF(Account!$F979&lt;&gt;"""", VALUE(REGEXREPLACE($I979, ""\,"", ""."")), """")"),"")</f>
        <v/>
      </c>
      <c r="O979" s="33" t="str">
        <f>IF(Account!$F979&lt;&gt;"", DATEVALUE(MID($A979,4,3) &amp; LEFT($A979,3) &amp; RIGHT($A979,4)) + TIMEVALUE($B979), "")</f>
        <v/>
      </c>
      <c r="P979" s="34" t="str">
        <f>IF(Account!$F979&lt;&gt;"", DATEVALUE(MID($C979,4,3) &amp; LEFT($C979,3) &amp; RIGHT($C979,4)), "")</f>
        <v/>
      </c>
      <c r="Q979" s="35" t="str">
        <f t="array" ref="Q979">IF($R979&lt;&gt;"",IFERROR(INDEX(ISIN!$B:$B,MATCH($R979,ISIN!$C:$C,0))),)</f>
        <v/>
      </c>
      <c r="R979" s="36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5" t="str">
        <f t="shared" si="1"/>
        <v/>
      </c>
      <c r="T979" s="37" t="str">
        <f t="shared" si="2"/>
        <v/>
      </c>
      <c r="U979" s="38" t="str">
        <f t="shared" si="3"/>
        <v/>
      </c>
      <c r="V979" s="32" t="str">
        <f t="shared" si="4"/>
        <v/>
      </c>
      <c r="W979" s="39" t="str">
        <f>IFERROR(__xludf.DUMMYFUNCTION(" IF(Account!$F979&lt;&gt;"""", SPLIT(Account!$F979, "" ""), """")"),"")</f>
        <v/>
      </c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</row>
    <row r="980">
      <c r="A980" s="12"/>
      <c r="B980" s="12"/>
      <c r="C980" s="12"/>
      <c r="D980" s="12"/>
      <c r="E980" s="12"/>
      <c r="F980" s="13"/>
      <c r="G980" s="291"/>
      <c r="H980" s="12"/>
      <c r="I980" s="12"/>
      <c r="J980" s="12"/>
      <c r="K980" s="12"/>
      <c r="L980" s="13"/>
      <c r="M980" s="30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2" t="str">
        <f>IFERROR(__xludf.DUMMYFUNCTION("IF(Account!$F980&lt;&gt;"""", VALUE(REGEXREPLACE($I980, ""\,"", ""."")), """")"),"")</f>
        <v/>
      </c>
      <c r="O980" s="33" t="str">
        <f>IF(Account!$F980&lt;&gt;"", DATEVALUE(MID($A980,4,3) &amp; LEFT($A980,3) &amp; RIGHT($A980,4)) + TIMEVALUE($B980), "")</f>
        <v/>
      </c>
      <c r="P980" s="34" t="str">
        <f>IF(Account!$F980&lt;&gt;"", DATEVALUE(MID($C980,4,3) &amp; LEFT($C980,3) &amp; RIGHT($C980,4)), "")</f>
        <v/>
      </c>
      <c r="Q980" s="35" t="str">
        <f t="array" ref="Q980">IF($R980&lt;&gt;"",IFERROR(INDEX(ISIN!$B:$B,MATCH($R980,ISIN!$C:$C,0))),)</f>
        <v/>
      </c>
      <c r="R980" s="36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5" t="str">
        <f t="shared" si="1"/>
        <v/>
      </c>
      <c r="T980" s="37" t="str">
        <f t="shared" si="2"/>
        <v/>
      </c>
      <c r="U980" s="38" t="str">
        <f t="shared" si="3"/>
        <v/>
      </c>
      <c r="V980" s="32" t="str">
        <f t="shared" si="4"/>
        <v/>
      </c>
      <c r="W980" s="39" t="str">
        <f>IFERROR(__xludf.DUMMYFUNCTION(" IF(Account!$F980&lt;&gt;"""", SPLIT(Account!$F980, "" ""), """")"),"")</f>
        <v/>
      </c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</row>
    <row r="981">
      <c r="A981" s="12"/>
      <c r="B981" s="12"/>
      <c r="C981" s="12"/>
      <c r="D981" s="12"/>
      <c r="E981" s="12"/>
      <c r="F981" s="13"/>
      <c r="G981" s="12"/>
      <c r="H981" s="12"/>
      <c r="I981" s="12"/>
      <c r="J981" s="12"/>
      <c r="K981" s="12"/>
      <c r="L981" s="13"/>
      <c r="M981" s="30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2" t="str">
        <f>IFERROR(__xludf.DUMMYFUNCTION("IF(Account!$F981&lt;&gt;"""", VALUE(REGEXREPLACE($I981, ""\,"", ""."")), """")"),"")</f>
        <v/>
      </c>
      <c r="O981" s="33" t="str">
        <f>IF(Account!$F981&lt;&gt;"", DATEVALUE(MID($A981,4,3) &amp; LEFT($A981,3) &amp; RIGHT($A981,4)) + TIMEVALUE($B981), "")</f>
        <v/>
      </c>
      <c r="P981" s="34" t="str">
        <f>IF(Account!$F981&lt;&gt;"", DATEVALUE(MID($C981,4,3) &amp; LEFT($C981,3) &amp; RIGHT($C981,4)), "")</f>
        <v/>
      </c>
      <c r="Q981" s="35" t="str">
        <f t="array" ref="Q981">IF($R981&lt;&gt;"",IFERROR(INDEX(ISIN!$B:$B,MATCH($R981,ISIN!$C:$C,0))),)</f>
        <v/>
      </c>
      <c r="R981" s="36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5" t="str">
        <f t="shared" si="1"/>
        <v/>
      </c>
      <c r="T981" s="37" t="str">
        <f t="shared" si="2"/>
        <v/>
      </c>
      <c r="U981" s="38" t="str">
        <f t="shared" si="3"/>
        <v/>
      </c>
      <c r="V981" s="32" t="str">
        <f t="shared" si="4"/>
        <v/>
      </c>
      <c r="W981" s="39" t="str">
        <f>IFERROR(__xludf.DUMMYFUNCTION(" IF(Account!$F981&lt;&gt;"""", SPLIT(Account!$F981, "" ""), """")"),"")</f>
        <v/>
      </c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</row>
    <row r="982">
      <c r="A982" s="12"/>
      <c r="B982" s="12"/>
      <c r="C982" s="12"/>
      <c r="D982" s="12"/>
      <c r="E982" s="12"/>
      <c r="F982" s="13"/>
      <c r="G982" s="291"/>
      <c r="H982" s="12"/>
      <c r="I982" s="12"/>
      <c r="J982" s="12"/>
      <c r="K982" s="12"/>
      <c r="L982" s="13"/>
      <c r="M982" s="30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2" t="str">
        <f>IFERROR(__xludf.DUMMYFUNCTION("IF(Account!$F982&lt;&gt;"""", VALUE(REGEXREPLACE($I982, ""\,"", ""."")), """")"),"")</f>
        <v/>
      </c>
      <c r="O982" s="33" t="str">
        <f>IF(Account!$F982&lt;&gt;"", DATEVALUE(MID($A982,4,3) &amp; LEFT($A982,3) &amp; RIGHT($A982,4)) + TIMEVALUE($B982), "")</f>
        <v/>
      </c>
      <c r="P982" s="34" t="str">
        <f>IF(Account!$F982&lt;&gt;"", DATEVALUE(MID($C982,4,3) &amp; LEFT($C982,3) &amp; RIGHT($C982,4)), "")</f>
        <v/>
      </c>
      <c r="Q982" s="35" t="str">
        <f t="array" ref="Q982">IF($R982&lt;&gt;"",IFERROR(INDEX(ISIN!$B:$B,MATCH($R982,ISIN!$C:$C,0))),)</f>
        <v/>
      </c>
      <c r="R982" s="36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5" t="str">
        <f t="shared" si="1"/>
        <v/>
      </c>
      <c r="T982" s="37" t="str">
        <f t="shared" si="2"/>
        <v/>
      </c>
      <c r="U982" s="38" t="str">
        <f t="shared" si="3"/>
        <v/>
      </c>
      <c r="V982" s="32" t="str">
        <f t="shared" si="4"/>
        <v/>
      </c>
      <c r="W982" s="39" t="str">
        <f>IFERROR(__xludf.DUMMYFUNCTION(" IF(Account!$F982&lt;&gt;"""", SPLIT(Account!$F982, "" ""), """")"),"")</f>
        <v/>
      </c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</row>
    <row r="983">
      <c r="A983" s="12"/>
      <c r="B983" s="12"/>
      <c r="C983" s="12"/>
      <c r="D983" s="12"/>
      <c r="E983" s="12"/>
      <c r="F983" s="13"/>
      <c r="G983" s="291"/>
      <c r="H983" s="12"/>
      <c r="I983" s="12"/>
      <c r="J983" s="12"/>
      <c r="K983" s="12"/>
      <c r="L983" s="13"/>
      <c r="M983" s="30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2" t="str">
        <f>IFERROR(__xludf.DUMMYFUNCTION("IF(Account!$F983&lt;&gt;"""", VALUE(REGEXREPLACE($I983, ""\,"", ""."")), """")"),"")</f>
        <v/>
      </c>
      <c r="O983" s="33" t="str">
        <f>IF(Account!$F983&lt;&gt;"", DATEVALUE(MID($A983,4,3) &amp; LEFT($A983,3) &amp; RIGHT($A983,4)) + TIMEVALUE($B983), "")</f>
        <v/>
      </c>
      <c r="P983" s="34" t="str">
        <f>IF(Account!$F983&lt;&gt;"", DATEVALUE(MID($C983,4,3) &amp; LEFT($C983,3) &amp; RIGHT($C983,4)), "")</f>
        <v/>
      </c>
      <c r="Q983" s="35" t="str">
        <f t="array" ref="Q983">IF($R983&lt;&gt;"",IFERROR(INDEX(ISIN!$B:$B,MATCH($R983,ISIN!$C:$C,0))),)</f>
        <v/>
      </c>
      <c r="R983" s="36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5" t="str">
        <f t="shared" si="1"/>
        <v/>
      </c>
      <c r="T983" s="37" t="str">
        <f t="shared" si="2"/>
        <v/>
      </c>
      <c r="U983" s="38" t="str">
        <f t="shared" si="3"/>
        <v/>
      </c>
      <c r="V983" s="32" t="str">
        <f t="shared" si="4"/>
        <v/>
      </c>
      <c r="W983" s="39" t="str">
        <f>IFERROR(__xludf.DUMMYFUNCTION(" IF(Account!$F983&lt;&gt;"""", SPLIT(Account!$F983, "" ""), """")"),"")</f>
        <v/>
      </c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</row>
    <row r="984">
      <c r="A984" s="12"/>
      <c r="B984" s="12"/>
      <c r="C984" s="12"/>
      <c r="D984" s="12"/>
      <c r="E984" s="12"/>
      <c r="F984" s="13"/>
      <c r="G984" s="291"/>
      <c r="H984" s="12"/>
      <c r="I984" s="12"/>
      <c r="J984" s="12"/>
      <c r="K984" s="12"/>
      <c r="L984" s="13"/>
      <c r="M984" s="30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2" t="str">
        <f>IFERROR(__xludf.DUMMYFUNCTION("IF(Account!$F984&lt;&gt;"""", VALUE(REGEXREPLACE($I984, ""\,"", ""."")), """")"),"")</f>
        <v/>
      </c>
      <c r="O984" s="33" t="str">
        <f>IF(Account!$F984&lt;&gt;"", DATEVALUE(MID($A984,4,3) &amp; LEFT($A984,3) &amp; RIGHT($A984,4)) + TIMEVALUE($B984), "")</f>
        <v/>
      </c>
      <c r="P984" s="34" t="str">
        <f>IF(Account!$F984&lt;&gt;"", DATEVALUE(MID($C984,4,3) &amp; LEFT($C984,3) &amp; RIGHT($C984,4)), "")</f>
        <v/>
      </c>
      <c r="Q984" s="35" t="str">
        <f t="array" ref="Q984">IF($R984&lt;&gt;"",IFERROR(INDEX(ISIN!$B:$B,MATCH($R984,ISIN!$C:$C,0))),)</f>
        <v/>
      </c>
      <c r="R984" s="36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5" t="str">
        <f t="shared" si="1"/>
        <v/>
      </c>
      <c r="T984" s="37" t="str">
        <f t="shared" si="2"/>
        <v/>
      </c>
      <c r="U984" s="38" t="str">
        <f t="shared" si="3"/>
        <v/>
      </c>
      <c r="V984" s="32" t="str">
        <f t="shared" si="4"/>
        <v/>
      </c>
      <c r="W984" s="39" t="str">
        <f>IFERROR(__xludf.DUMMYFUNCTION(" IF(Account!$F984&lt;&gt;"""", SPLIT(Account!$F984, "" ""), """")"),"")</f>
        <v/>
      </c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</row>
    <row r="985">
      <c r="A985" s="12"/>
      <c r="B985" s="12"/>
      <c r="C985" s="12"/>
      <c r="D985" s="12"/>
      <c r="E985" s="12"/>
      <c r="F985" s="13"/>
      <c r="G985" s="291"/>
      <c r="H985" s="12"/>
      <c r="I985" s="12"/>
      <c r="J985" s="12"/>
      <c r="K985" s="12"/>
      <c r="L985" s="13"/>
      <c r="M985" s="30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2" t="str">
        <f>IFERROR(__xludf.DUMMYFUNCTION("IF(Account!$F985&lt;&gt;"""", VALUE(REGEXREPLACE($I985, ""\,"", ""."")), """")"),"")</f>
        <v/>
      </c>
      <c r="O985" s="33" t="str">
        <f>IF(Account!$F985&lt;&gt;"", DATEVALUE(MID($A985,4,3) &amp; LEFT($A985,3) &amp; RIGHT($A985,4)) + TIMEVALUE($B985), "")</f>
        <v/>
      </c>
      <c r="P985" s="34" t="str">
        <f>IF(Account!$F985&lt;&gt;"", DATEVALUE(MID($C985,4,3) &amp; LEFT($C985,3) &amp; RIGHT($C985,4)), "")</f>
        <v/>
      </c>
      <c r="Q985" s="35" t="str">
        <f t="array" ref="Q985">IF($R985&lt;&gt;"",IFERROR(INDEX(ISIN!$B:$B,MATCH($R985,ISIN!$C:$C,0))),)</f>
        <v/>
      </c>
      <c r="R985" s="36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5" t="str">
        <f t="shared" si="1"/>
        <v/>
      </c>
      <c r="T985" s="37" t="str">
        <f t="shared" si="2"/>
        <v/>
      </c>
      <c r="U985" s="38" t="str">
        <f t="shared" si="3"/>
        <v/>
      </c>
      <c r="V985" s="32" t="str">
        <f t="shared" si="4"/>
        <v/>
      </c>
      <c r="W985" s="39" t="str">
        <f>IFERROR(__xludf.DUMMYFUNCTION(" IF(Account!$F985&lt;&gt;"""", SPLIT(Account!$F985, "" ""), """")"),"")</f>
        <v/>
      </c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</row>
    <row r="986">
      <c r="A986" s="12"/>
      <c r="B986" s="12"/>
      <c r="C986" s="12"/>
      <c r="D986" s="12"/>
      <c r="E986" s="12"/>
      <c r="F986" s="13"/>
      <c r="G986" s="291"/>
      <c r="H986" s="12"/>
      <c r="I986" s="12"/>
      <c r="J986" s="12"/>
      <c r="K986" s="12"/>
      <c r="L986" s="13"/>
      <c r="M986" s="30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2" t="str">
        <f>IFERROR(__xludf.DUMMYFUNCTION("IF(Account!$F986&lt;&gt;"""", VALUE(REGEXREPLACE($I986, ""\,"", ""."")), """")"),"")</f>
        <v/>
      </c>
      <c r="O986" s="33" t="str">
        <f>IF(Account!$F986&lt;&gt;"", DATEVALUE(MID($A986,4,3) &amp; LEFT($A986,3) &amp; RIGHT($A986,4)) + TIMEVALUE($B986), "")</f>
        <v/>
      </c>
      <c r="P986" s="34" t="str">
        <f>IF(Account!$F986&lt;&gt;"", DATEVALUE(MID($C986,4,3) &amp; LEFT($C986,3) &amp; RIGHT($C986,4)), "")</f>
        <v/>
      </c>
      <c r="Q986" s="35" t="str">
        <f t="array" ref="Q986">IF($R986&lt;&gt;"",IFERROR(INDEX(ISIN!$B:$B,MATCH($R986,ISIN!$C:$C,0))),)</f>
        <v/>
      </c>
      <c r="R986" s="36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5" t="str">
        <f t="shared" si="1"/>
        <v/>
      </c>
      <c r="T986" s="37" t="str">
        <f t="shared" si="2"/>
        <v/>
      </c>
      <c r="U986" s="38" t="str">
        <f t="shared" si="3"/>
        <v/>
      </c>
      <c r="V986" s="32" t="str">
        <f t="shared" si="4"/>
        <v/>
      </c>
      <c r="W986" s="39" t="str">
        <f>IFERROR(__xludf.DUMMYFUNCTION(" IF(Account!$F986&lt;&gt;"""", SPLIT(Account!$F986, "" ""), """")"),"")</f>
        <v/>
      </c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</row>
    <row r="987">
      <c r="A987" s="12"/>
      <c r="B987" s="12"/>
      <c r="C987" s="12"/>
      <c r="D987" s="12"/>
      <c r="E987" s="12"/>
      <c r="F987" s="13"/>
      <c r="G987" s="291"/>
      <c r="H987" s="12"/>
      <c r="I987" s="12"/>
      <c r="J987" s="12"/>
      <c r="K987" s="12"/>
      <c r="L987" s="13"/>
      <c r="M987" s="30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2" t="str">
        <f>IFERROR(__xludf.DUMMYFUNCTION("IF(Account!$F987&lt;&gt;"""", VALUE(REGEXREPLACE($I987, ""\,"", ""."")), """")"),"")</f>
        <v/>
      </c>
      <c r="O987" s="33" t="str">
        <f>IF(Account!$F987&lt;&gt;"", DATEVALUE(MID($A987,4,3) &amp; LEFT($A987,3) &amp; RIGHT($A987,4)) + TIMEVALUE($B987), "")</f>
        <v/>
      </c>
      <c r="P987" s="34" t="str">
        <f>IF(Account!$F987&lt;&gt;"", DATEVALUE(MID($C987,4,3) &amp; LEFT($C987,3) &amp; RIGHT($C987,4)), "")</f>
        <v/>
      </c>
      <c r="Q987" s="35" t="str">
        <f t="array" ref="Q987">IF($R987&lt;&gt;"",IFERROR(INDEX(ISIN!$B:$B,MATCH($R987,ISIN!$C:$C,0))),)</f>
        <v/>
      </c>
      <c r="R987" s="36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5" t="str">
        <f t="shared" si="1"/>
        <v/>
      </c>
      <c r="T987" s="37" t="str">
        <f t="shared" si="2"/>
        <v/>
      </c>
      <c r="U987" s="38" t="str">
        <f t="shared" si="3"/>
        <v/>
      </c>
      <c r="V987" s="32" t="str">
        <f t="shared" si="4"/>
        <v/>
      </c>
      <c r="W987" s="39" t="str">
        <f>IFERROR(__xludf.DUMMYFUNCTION(" IF(Account!$F987&lt;&gt;"""", SPLIT(Account!$F987, "" ""), """")"),"")</f>
        <v/>
      </c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</row>
    <row r="988">
      <c r="A988" s="12"/>
      <c r="B988" s="12"/>
      <c r="C988" s="12"/>
      <c r="D988" s="12"/>
      <c r="E988" s="12"/>
      <c r="F988" s="13"/>
      <c r="G988" s="291"/>
      <c r="H988" s="12"/>
      <c r="I988" s="12"/>
      <c r="J988" s="12"/>
      <c r="K988" s="12"/>
      <c r="L988" s="13"/>
      <c r="M988" s="30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2" t="str">
        <f>IFERROR(__xludf.DUMMYFUNCTION("IF(Account!$F988&lt;&gt;"""", VALUE(REGEXREPLACE($I988, ""\,"", ""."")), """")"),"")</f>
        <v/>
      </c>
      <c r="O988" s="33" t="str">
        <f>IF(Account!$F988&lt;&gt;"", DATEVALUE(MID($A988,4,3) &amp; LEFT($A988,3) &amp; RIGHT($A988,4)) + TIMEVALUE($B988), "")</f>
        <v/>
      </c>
      <c r="P988" s="34" t="str">
        <f>IF(Account!$F988&lt;&gt;"", DATEVALUE(MID($C988,4,3) &amp; LEFT($C988,3) &amp; RIGHT($C988,4)), "")</f>
        <v/>
      </c>
      <c r="Q988" s="35" t="str">
        <f t="array" ref="Q988">IF($R988&lt;&gt;"",IFERROR(INDEX(ISIN!$B:$B,MATCH($R988,ISIN!$C:$C,0))),)</f>
        <v/>
      </c>
      <c r="R988" s="36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5" t="str">
        <f t="shared" si="1"/>
        <v/>
      </c>
      <c r="T988" s="37" t="str">
        <f t="shared" si="2"/>
        <v/>
      </c>
      <c r="U988" s="38" t="str">
        <f t="shared" si="3"/>
        <v/>
      </c>
      <c r="V988" s="32" t="str">
        <f t="shared" si="4"/>
        <v/>
      </c>
      <c r="W988" s="39" t="str">
        <f>IFERROR(__xludf.DUMMYFUNCTION(" IF(Account!$F988&lt;&gt;"""", SPLIT(Account!$F988, "" ""), """")"),"")</f>
        <v/>
      </c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</row>
    <row r="989">
      <c r="A989" s="12"/>
      <c r="B989" s="12"/>
      <c r="C989" s="12"/>
      <c r="D989" s="12"/>
      <c r="E989" s="12"/>
      <c r="F989" s="13"/>
      <c r="G989" s="12"/>
      <c r="H989" s="12"/>
      <c r="I989" s="12"/>
      <c r="J989" s="12"/>
      <c r="K989" s="12"/>
      <c r="L989" s="13"/>
      <c r="M989" s="30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2" t="str">
        <f>IFERROR(__xludf.DUMMYFUNCTION("IF(Account!$F989&lt;&gt;"""", VALUE(REGEXREPLACE($I989, ""\,"", ""."")), """")"),"")</f>
        <v/>
      </c>
      <c r="O989" s="33" t="str">
        <f>IF(Account!$F989&lt;&gt;"", DATEVALUE(MID($A989,4,3) &amp; LEFT($A989,3) &amp; RIGHT($A989,4)) + TIMEVALUE($B989), "")</f>
        <v/>
      </c>
      <c r="P989" s="34" t="str">
        <f>IF(Account!$F989&lt;&gt;"", DATEVALUE(MID($C989,4,3) &amp; LEFT($C989,3) &amp; RIGHT($C989,4)), "")</f>
        <v/>
      </c>
      <c r="Q989" s="35" t="str">
        <f t="array" ref="Q989">IF($R989&lt;&gt;"",IFERROR(INDEX(ISIN!$B:$B,MATCH($R989,ISIN!$C:$C,0))),)</f>
        <v/>
      </c>
      <c r="R989" s="36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5" t="str">
        <f t="shared" si="1"/>
        <v/>
      </c>
      <c r="T989" s="37" t="str">
        <f t="shared" si="2"/>
        <v/>
      </c>
      <c r="U989" s="38" t="str">
        <f t="shared" si="3"/>
        <v/>
      </c>
      <c r="V989" s="32" t="str">
        <f t="shared" si="4"/>
        <v/>
      </c>
      <c r="W989" s="39" t="str">
        <f>IFERROR(__xludf.DUMMYFUNCTION(" IF(Account!$F989&lt;&gt;"""", SPLIT(Account!$F989, "" ""), """")"),"")</f>
        <v/>
      </c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</row>
    <row r="990">
      <c r="A990" s="12"/>
      <c r="B990" s="12"/>
      <c r="C990" s="12"/>
      <c r="D990" s="12"/>
      <c r="E990" s="12"/>
      <c r="F990" s="13"/>
      <c r="G990" s="291"/>
      <c r="H990" s="12"/>
      <c r="I990" s="12"/>
      <c r="J990" s="12"/>
      <c r="K990" s="12"/>
      <c r="L990" s="13"/>
      <c r="M990" s="30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2" t="str">
        <f>IFERROR(__xludf.DUMMYFUNCTION("IF(Account!$F990&lt;&gt;"""", VALUE(REGEXREPLACE($I990, ""\,"", ""."")), """")"),"")</f>
        <v/>
      </c>
      <c r="O990" s="33" t="str">
        <f>IF(Account!$F990&lt;&gt;"", DATEVALUE(MID($A990,4,3) &amp; LEFT($A990,3) &amp; RIGHT($A990,4)) + TIMEVALUE($B990), "")</f>
        <v/>
      </c>
      <c r="P990" s="34" t="str">
        <f>IF(Account!$F990&lt;&gt;"", DATEVALUE(MID($C990,4,3) &amp; LEFT($C990,3) &amp; RIGHT($C990,4)), "")</f>
        <v/>
      </c>
      <c r="Q990" s="35" t="str">
        <f t="array" ref="Q990">IF($R990&lt;&gt;"",IFERROR(INDEX(ISIN!$B:$B,MATCH($R990,ISIN!$C:$C,0))),)</f>
        <v/>
      </c>
      <c r="R990" s="36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5" t="str">
        <f t="shared" si="1"/>
        <v/>
      </c>
      <c r="T990" s="37" t="str">
        <f t="shared" si="2"/>
        <v/>
      </c>
      <c r="U990" s="38" t="str">
        <f t="shared" si="3"/>
        <v/>
      </c>
      <c r="V990" s="32" t="str">
        <f t="shared" si="4"/>
        <v/>
      </c>
      <c r="W990" s="39" t="str">
        <f>IFERROR(__xludf.DUMMYFUNCTION(" IF(Account!$F990&lt;&gt;"""", SPLIT(Account!$F990, "" ""), """")"),"")</f>
        <v/>
      </c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</row>
    <row r="991">
      <c r="A991" s="12"/>
      <c r="B991" s="12"/>
      <c r="C991" s="12"/>
      <c r="D991" s="12"/>
      <c r="E991" s="12"/>
      <c r="F991" s="13"/>
      <c r="G991" s="12"/>
      <c r="H991" s="12"/>
      <c r="I991" s="12"/>
      <c r="J991" s="12"/>
      <c r="K991" s="12"/>
      <c r="L991" s="13"/>
      <c r="M991" s="30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2" t="str">
        <f>IFERROR(__xludf.DUMMYFUNCTION("IF(Account!$F991&lt;&gt;"""", VALUE(REGEXREPLACE($I991, ""\,"", ""."")), """")"),"")</f>
        <v/>
      </c>
      <c r="O991" s="33" t="str">
        <f>IF(Account!$F991&lt;&gt;"", DATEVALUE(MID($A991,4,3) &amp; LEFT($A991,3) &amp; RIGHT($A991,4)) + TIMEVALUE($B991), "")</f>
        <v/>
      </c>
      <c r="P991" s="34" t="str">
        <f>IF(Account!$F991&lt;&gt;"", DATEVALUE(MID($C991,4,3) &amp; LEFT($C991,3) &amp; RIGHT($C991,4)), "")</f>
        <v/>
      </c>
      <c r="Q991" s="35" t="str">
        <f t="array" ref="Q991">IF($R991&lt;&gt;"",IFERROR(INDEX(ISIN!$B:$B,MATCH($R991,ISIN!$C:$C,0))),)</f>
        <v/>
      </c>
      <c r="R991" s="36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5" t="str">
        <f t="shared" si="1"/>
        <v/>
      </c>
      <c r="T991" s="37" t="str">
        <f t="shared" si="2"/>
        <v/>
      </c>
      <c r="U991" s="38" t="str">
        <f t="shared" si="3"/>
        <v/>
      </c>
      <c r="V991" s="32" t="str">
        <f t="shared" si="4"/>
        <v/>
      </c>
      <c r="W991" s="39" t="str">
        <f>IFERROR(__xludf.DUMMYFUNCTION(" IF(Account!$F991&lt;&gt;"""", SPLIT(Account!$F991, "" ""), """")"),"")</f>
        <v/>
      </c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</row>
    <row r="992">
      <c r="A992" s="12"/>
      <c r="B992" s="12"/>
      <c r="C992" s="12"/>
      <c r="D992" s="12"/>
      <c r="E992" s="12"/>
      <c r="F992" s="13"/>
      <c r="G992" s="291"/>
      <c r="H992" s="12"/>
      <c r="I992" s="12"/>
      <c r="J992" s="12"/>
      <c r="K992" s="12"/>
      <c r="L992" s="13"/>
      <c r="M992" s="30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2" t="str">
        <f>IFERROR(__xludf.DUMMYFUNCTION("IF(Account!$F992&lt;&gt;"""", VALUE(REGEXREPLACE($I992, ""\,"", ""."")), """")"),"")</f>
        <v/>
      </c>
      <c r="O992" s="33" t="str">
        <f>IF(Account!$F992&lt;&gt;"", DATEVALUE(MID($A992,4,3) &amp; LEFT($A992,3) &amp; RIGHT($A992,4)) + TIMEVALUE($B992), "")</f>
        <v/>
      </c>
      <c r="P992" s="34" t="str">
        <f>IF(Account!$F992&lt;&gt;"", DATEVALUE(MID($C992,4,3) &amp; LEFT($C992,3) &amp; RIGHT($C992,4)), "")</f>
        <v/>
      </c>
      <c r="Q992" s="35" t="str">
        <f t="array" ref="Q992">IF($R992&lt;&gt;"",IFERROR(INDEX(ISIN!$B:$B,MATCH($R992,ISIN!$C:$C,0))),)</f>
        <v/>
      </c>
      <c r="R992" s="36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5" t="str">
        <f t="shared" si="1"/>
        <v/>
      </c>
      <c r="T992" s="37" t="str">
        <f t="shared" si="2"/>
        <v/>
      </c>
      <c r="U992" s="38" t="str">
        <f t="shared" si="3"/>
        <v/>
      </c>
      <c r="V992" s="32" t="str">
        <f t="shared" si="4"/>
        <v/>
      </c>
      <c r="W992" s="39" t="str">
        <f>IFERROR(__xludf.DUMMYFUNCTION(" IF(Account!$F992&lt;&gt;"""", SPLIT(Account!$F992, "" ""), """")"),"")</f>
        <v/>
      </c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</row>
    <row r="993">
      <c r="A993" s="12"/>
      <c r="B993" s="12"/>
      <c r="C993" s="12"/>
      <c r="D993" s="12"/>
      <c r="E993" s="12"/>
      <c r="F993" s="13"/>
      <c r="G993" s="12"/>
      <c r="H993" s="12"/>
      <c r="I993" s="12"/>
      <c r="J993" s="12"/>
      <c r="K993" s="12"/>
      <c r="L993" s="13"/>
      <c r="M993" s="30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2" t="str">
        <f>IFERROR(__xludf.DUMMYFUNCTION("IF(Account!$F993&lt;&gt;"""", VALUE(REGEXREPLACE($I993, ""\,"", ""."")), """")"),"")</f>
        <v/>
      </c>
      <c r="O993" s="33" t="str">
        <f>IF(Account!$F993&lt;&gt;"", DATEVALUE(MID($A993,4,3) &amp; LEFT($A993,3) &amp; RIGHT($A993,4)) + TIMEVALUE($B993), "")</f>
        <v/>
      </c>
      <c r="P993" s="34" t="str">
        <f>IF(Account!$F993&lt;&gt;"", DATEVALUE(MID($C993,4,3) &amp; LEFT($C993,3) &amp; RIGHT($C993,4)), "")</f>
        <v/>
      </c>
      <c r="Q993" s="35" t="str">
        <f t="array" ref="Q993">IF($R993&lt;&gt;"",IFERROR(INDEX(ISIN!$B:$B,MATCH($R993,ISIN!$C:$C,0))),)</f>
        <v/>
      </c>
      <c r="R993" s="36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5" t="str">
        <f t="shared" si="1"/>
        <v/>
      </c>
      <c r="T993" s="37" t="str">
        <f t="shared" si="2"/>
        <v/>
      </c>
      <c r="U993" s="38" t="str">
        <f t="shared" si="3"/>
        <v/>
      </c>
      <c r="V993" s="32" t="str">
        <f t="shared" si="4"/>
        <v/>
      </c>
      <c r="W993" s="39" t="str">
        <f>IFERROR(__xludf.DUMMYFUNCTION(" IF(Account!$F993&lt;&gt;"""", SPLIT(Account!$F993, "" ""), """")"),"")</f>
        <v/>
      </c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</row>
    <row r="994">
      <c r="A994" s="12"/>
      <c r="B994" s="12"/>
      <c r="C994" s="12"/>
      <c r="D994" s="12"/>
      <c r="E994" s="12"/>
      <c r="F994" s="13"/>
      <c r="G994" s="291"/>
      <c r="H994" s="12"/>
      <c r="I994" s="12"/>
      <c r="J994" s="12"/>
      <c r="K994" s="12"/>
      <c r="L994" s="13"/>
      <c r="M994" s="30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2" t="str">
        <f>IFERROR(__xludf.DUMMYFUNCTION("IF(Account!$F994&lt;&gt;"""", VALUE(REGEXREPLACE($I994, ""\,"", ""."")), """")"),"")</f>
        <v/>
      </c>
      <c r="O994" s="33" t="str">
        <f>IF(Account!$F994&lt;&gt;"", DATEVALUE(MID($A994,4,3) &amp; LEFT($A994,3) &amp; RIGHT($A994,4)) + TIMEVALUE($B994), "")</f>
        <v/>
      </c>
      <c r="P994" s="34" t="str">
        <f>IF(Account!$F994&lt;&gt;"", DATEVALUE(MID($C994,4,3) &amp; LEFT($C994,3) &amp; RIGHT($C994,4)), "")</f>
        <v/>
      </c>
      <c r="Q994" s="35" t="str">
        <f t="array" ref="Q994">IF($R994&lt;&gt;"",IFERROR(INDEX(ISIN!$B:$B,MATCH($R994,ISIN!$C:$C,0))),)</f>
        <v/>
      </c>
      <c r="R994" s="36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5" t="str">
        <f t="shared" si="1"/>
        <v/>
      </c>
      <c r="T994" s="37" t="str">
        <f t="shared" si="2"/>
        <v/>
      </c>
      <c r="U994" s="38" t="str">
        <f t="shared" si="3"/>
        <v/>
      </c>
      <c r="V994" s="32" t="str">
        <f t="shared" si="4"/>
        <v/>
      </c>
      <c r="W994" s="39" t="str">
        <f>IFERROR(__xludf.DUMMYFUNCTION(" IF(Account!$F994&lt;&gt;"""", SPLIT(Account!$F994, "" ""), """")"),"")</f>
        <v/>
      </c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</row>
    <row r="995">
      <c r="A995" s="12"/>
      <c r="B995" s="12"/>
      <c r="C995" s="12"/>
      <c r="D995" s="12"/>
      <c r="E995" s="12"/>
      <c r="F995" s="13"/>
      <c r="G995" s="12"/>
      <c r="H995" s="12"/>
      <c r="I995" s="12"/>
      <c r="J995" s="12"/>
      <c r="K995" s="12"/>
      <c r="L995" s="13"/>
      <c r="M995" s="30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2" t="str">
        <f>IFERROR(__xludf.DUMMYFUNCTION("IF(Account!$F995&lt;&gt;"""", VALUE(REGEXREPLACE($I995, ""\,"", ""."")), """")"),"")</f>
        <v/>
      </c>
      <c r="O995" s="33" t="str">
        <f>IF(Account!$F995&lt;&gt;"", DATEVALUE(MID($A995,4,3) &amp; LEFT($A995,3) &amp; RIGHT($A995,4)) + TIMEVALUE($B995), "")</f>
        <v/>
      </c>
      <c r="P995" s="34" t="str">
        <f>IF(Account!$F995&lt;&gt;"", DATEVALUE(MID($C995,4,3) &amp; LEFT($C995,3) &amp; RIGHT($C995,4)), "")</f>
        <v/>
      </c>
      <c r="Q995" s="35" t="str">
        <f t="array" ref="Q995">IF($R995&lt;&gt;"",IFERROR(INDEX(ISIN!$B:$B,MATCH($R995,ISIN!$C:$C,0))),)</f>
        <v/>
      </c>
      <c r="R995" s="36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5" t="str">
        <f t="shared" si="1"/>
        <v/>
      </c>
      <c r="T995" s="37" t="str">
        <f t="shared" si="2"/>
        <v/>
      </c>
      <c r="U995" s="38" t="str">
        <f t="shared" si="3"/>
        <v/>
      </c>
      <c r="V995" s="32" t="str">
        <f t="shared" si="4"/>
        <v/>
      </c>
      <c r="W995" s="39" t="str">
        <f>IFERROR(__xludf.DUMMYFUNCTION(" IF(Account!$F995&lt;&gt;"""", SPLIT(Account!$F995, "" ""), """")"),"")</f>
        <v/>
      </c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</row>
    <row r="996">
      <c r="A996" s="12"/>
      <c r="B996" s="12"/>
      <c r="C996" s="12"/>
      <c r="D996" s="12"/>
      <c r="E996" s="12"/>
      <c r="F996" s="13"/>
      <c r="G996" s="291"/>
      <c r="H996" s="12"/>
      <c r="I996" s="12"/>
      <c r="J996" s="12"/>
      <c r="K996" s="12"/>
      <c r="L996" s="13"/>
      <c r="M996" s="30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2" t="str">
        <f>IFERROR(__xludf.DUMMYFUNCTION("IF(Account!$F996&lt;&gt;"""", VALUE(REGEXREPLACE($I996, ""\,"", ""."")), """")"),"")</f>
        <v/>
      </c>
      <c r="O996" s="33" t="str">
        <f>IF(Account!$F996&lt;&gt;"", DATEVALUE(MID($A996,4,3) &amp; LEFT($A996,3) &amp; RIGHT($A996,4)) + TIMEVALUE($B996), "")</f>
        <v/>
      </c>
      <c r="P996" s="34" t="str">
        <f>IF(Account!$F996&lt;&gt;"", DATEVALUE(MID($C996,4,3) &amp; LEFT($C996,3) &amp; RIGHT($C996,4)), "")</f>
        <v/>
      </c>
      <c r="Q996" s="35" t="str">
        <f t="array" ref="Q996">IF($R996&lt;&gt;"",IFERROR(INDEX(ISIN!$B:$B,MATCH($R996,ISIN!$C:$C,0))),)</f>
        <v/>
      </c>
      <c r="R996" s="36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5" t="str">
        <f t="shared" si="1"/>
        <v/>
      </c>
      <c r="T996" s="37" t="str">
        <f t="shared" si="2"/>
        <v/>
      </c>
      <c r="U996" s="38" t="str">
        <f t="shared" si="3"/>
        <v/>
      </c>
      <c r="V996" s="32" t="str">
        <f t="shared" si="4"/>
        <v/>
      </c>
      <c r="W996" s="39" t="str">
        <f>IFERROR(__xludf.DUMMYFUNCTION(" IF(Account!$F996&lt;&gt;"""", SPLIT(Account!$F996, "" ""), """")"),"")</f>
        <v/>
      </c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</row>
    <row r="997">
      <c r="A997" s="12"/>
      <c r="B997" s="12"/>
      <c r="C997" s="12"/>
      <c r="D997" s="12"/>
      <c r="E997" s="12"/>
      <c r="F997" s="13"/>
      <c r="G997" s="12"/>
      <c r="H997" s="12"/>
      <c r="I997" s="12"/>
      <c r="J997" s="12"/>
      <c r="K997" s="12"/>
      <c r="L997" s="13"/>
      <c r="M997" s="30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2" t="str">
        <f>IFERROR(__xludf.DUMMYFUNCTION("IF(Account!$F997&lt;&gt;"""", VALUE(REGEXREPLACE($I997, ""\,"", ""."")), """")"),"")</f>
        <v/>
      </c>
      <c r="O997" s="33" t="str">
        <f>IF(Account!$F997&lt;&gt;"", DATEVALUE(MID($A997,4,3) &amp; LEFT($A997,3) &amp; RIGHT($A997,4)) + TIMEVALUE($B997), "")</f>
        <v/>
      </c>
      <c r="P997" s="34" t="str">
        <f>IF(Account!$F997&lt;&gt;"", DATEVALUE(MID($C997,4,3) &amp; LEFT($C997,3) &amp; RIGHT($C997,4)), "")</f>
        <v/>
      </c>
      <c r="Q997" s="35" t="str">
        <f t="array" ref="Q997">IF($R997&lt;&gt;"",IFERROR(INDEX(ISIN!$B:$B,MATCH($R997,ISIN!$C:$C,0))),)</f>
        <v/>
      </c>
      <c r="R997" s="36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5" t="str">
        <f t="shared" si="1"/>
        <v/>
      </c>
      <c r="T997" s="37" t="str">
        <f t="shared" si="2"/>
        <v/>
      </c>
      <c r="U997" s="38" t="str">
        <f t="shared" si="3"/>
        <v/>
      </c>
      <c r="V997" s="32" t="str">
        <f t="shared" si="4"/>
        <v/>
      </c>
      <c r="W997" s="39" t="str">
        <f>IFERROR(__xludf.DUMMYFUNCTION(" IF(Account!$F997&lt;&gt;"""", SPLIT(Account!$F997, "" ""), """")"),"")</f>
        <v/>
      </c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</row>
    <row r="998">
      <c r="A998" s="12"/>
      <c r="B998" s="12"/>
      <c r="C998" s="12"/>
      <c r="D998" s="12"/>
      <c r="E998" s="12"/>
      <c r="F998" s="13"/>
      <c r="G998" s="291"/>
      <c r="H998" s="12"/>
      <c r="I998" s="12"/>
      <c r="J998" s="12"/>
      <c r="K998" s="12"/>
      <c r="L998" s="13"/>
      <c r="M998" s="30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2" t="str">
        <f>IFERROR(__xludf.DUMMYFUNCTION("IF(Account!$F998&lt;&gt;"""", VALUE(REGEXREPLACE($I998, ""\,"", ""."")), """")"),"")</f>
        <v/>
      </c>
      <c r="O998" s="33" t="str">
        <f>IF(Account!$F998&lt;&gt;"", DATEVALUE(MID($A998,4,3) &amp; LEFT($A998,3) &amp; RIGHT($A998,4)) + TIMEVALUE($B998), "")</f>
        <v/>
      </c>
      <c r="P998" s="34" t="str">
        <f>IF(Account!$F998&lt;&gt;"", DATEVALUE(MID($C998,4,3) &amp; LEFT($C998,3) &amp; RIGHT($C998,4)), "")</f>
        <v/>
      </c>
      <c r="Q998" s="35" t="str">
        <f t="array" ref="Q998">IF($R998&lt;&gt;"",IFERROR(INDEX(ISIN!$B:$B,MATCH($R998,ISIN!$C:$C,0))),)</f>
        <v/>
      </c>
      <c r="R998" s="36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5" t="str">
        <f t="shared" si="1"/>
        <v/>
      </c>
      <c r="T998" s="37" t="str">
        <f t="shared" si="2"/>
        <v/>
      </c>
      <c r="U998" s="38" t="str">
        <f t="shared" si="3"/>
        <v/>
      </c>
      <c r="V998" s="32" t="str">
        <f t="shared" si="4"/>
        <v/>
      </c>
      <c r="W998" s="39" t="str">
        <f>IFERROR(__xludf.DUMMYFUNCTION(" IF(Account!$F998&lt;&gt;"""", SPLIT(Account!$F998, "" ""), """")"),"")</f>
        <v/>
      </c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</row>
    <row r="999">
      <c r="A999" s="12"/>
      <c r="B999" s="12"/>
      <c r="C999" s="12"/>
      <c r="D999" s="12"/>
      <c r="E999" s="12"/>
      <c r="F999" s="13"/>
      <c r="G999" s="12"/>
      <c r="H999" s="12"/>
      <c r="I999" s="12"/>
      <c r="J999" s="12"/>
      <c r="K999" s="12"/>
      <c r="L999" s="13"/>
      <c r="M999" s="30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2" t="str">
        <f>IFERROR(__xludf.DUMMYFUNCTION("IF(Account!$F999&lt;&gt;"""", VALUE(REGEXREPLACE($I999, ""\,"", ""."")), """")"),"")</f>
        <v/>
      </c>
      <c r="O999" s="33" t="str">
        <f>IF(Account!$F999&lt;&gt;"", DATEVALUE(MID($A999,4,3) &amp; LEFT($A999,3) &amp; RIGHT($A999,4)) + TIMEVALUE($B999), "")</f>
        <v/>
      </c>
      <c r="P999" s="34" t="str">
        <f>IF(Account!$F999&lt;&gt;"", DATEVALUE(MID($C999,4,3) &amp; LEFT($C999,3) &amp; RIGHT($C999,4)), "")</f>
        <v/>
      </c>
      <c r="Q999" s="35" t="str">
        <f t="array" ref="Q999">IF($R999&lt;&gt;"",IFERROR(INDEX(ISIN!$B:$B,MATCH($R999,ISIN!$C:$C,0))),)</f>
        <v/>
      </c>
      <c r="R999" s="36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5" t="str">
        <f t="shared" si="1"/>
        <v/>
      </c>
      <c r="T999" s="37" t="str">
        <f t="shared" si="2"/>
        <v/>
      </c>
      <c r="U999" s="38" t="str">
        <f t="shared" si="3"/>
        <v/>
      </c>
      <c r="V999" s="32" t="str">
        <f t="shared" si="4"/>
        <v/>
      </c>
      <c r="W999" s="39" t="str">
        <f>IFERROR(__xludf.DUMMYFUNCTION(" IF(Account!$F999&lt;&gt;"""", SPLIT(Account!$F999, "" ""), """")"),"")</f>
        <v/>
      </c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</row>
    <row r="1000">
      <c r="A1000" s="12"/>
      <c r="B1000" s="12"/>
      <c r="C1000" s="12"/>
      <c r="D1000" s="12"/>
      <c r="E1000" s="12"/>
      <c r="F1000" s="13"/>
      <c r="G1000" s="291"/>
      <c r="H1000" s="12"/>
      <c r="I1000" s="12"/>
      <c r="J1000" s="12"/>
      <c r="K1000" s="12"/>
      <c r="L1000" s="13"/>
      <c r="M1000" s="30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2" t="str">
        <f>IFERROR(__xludf.DUMMYFUNCTION("IF(Account!$F1000&lt;&gt;"""", VALUE(REGEXREPLACE($I1000, ""\,"", ""."")), """")"),"")</f>
        <v/>
      </c>
      <c r="O1000" s="33" t="str">
        <f>IF(Account!$F1000&lt;&gt;"", DATEVALUE(MID($A1000,4,3) &amp; LEFT($A1000,3) &amp; RIGHT($A1000,4)) + TIMEVALUE($B1000), "")</f>
        <v/>
      </c>
      <c r="P1000" s="34" t="str">
        <f>IF(Account!$F1000&lt;&gt;"", DATEVALUE(MID($C1000,4,3) &amp; LEFT($C1000,3) &amp; RIGHT($C1000,4)), "")</f>
        <v/>
      </c>
      <c r="Q1000" s="35" t="str">
        <f t="array" ref="Q1000">IF($R1000&lt;&gt;"",IFERROR(INDEX(ISIN!$B:$B,MATCH($R1000,ISIN!$C:$C,0))),)</f>
        <v/>
      </c>
      <c r="R1000" s="36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5" t="str">
        <f t="shared" si="1"/>
        <v/>
      </c>
      <c r="T1000" s="37" t="str">
        <f t="shared" si="2"/>
        <v/>
      </c>
      <c r="U1000" s="38" t="str">
        <f t="shared" si="3"/>
        <v/>
      </c>
      <c r="V1000" s="32" t="str">
        <f t="shared" si="4"/>
        <v/>
      </c>
      <c r="W1000" s="39" t="str">
        <f>IFERROR(__xludf.DUMMYFUNCTION(" IF(Account!$F1000&lt;&gt;"""", SPLIT(Account!$F1000, "" ""), """")"),"")</f>
        <v/>
      </c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</row>
    <row r="1001">
      <c r="A1001" s="12"/>
      <c r="B1001" s="12"/>
      <c r="C1001" s="12"/>
      <c r="D1001" s="12"/>
      <c r="E1001" s="12"/>
      <c r="F1001" s="13"/>
      <c r="G1001" s="12"/>
      <c r="H1001" s="12"/>
      <c r="I1001" s="12"/>
      <c r="J1001" s="12"/>
      <c r="K1001" s="12"/>
      <c r="L1001" s="13"/>
      <c r="M1001" s="30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2" t="str">
        <f>IFERROR(__xludf.DUMMYFUNCTION("IF(Account!$F1001&lt;&gt;"""", VALUE(REGEXREPLACE($I1001, ""\,"", ""."")), """")"),"")</f>
        <v/>
      </c>
      <c r="O1001" s="33" t="str">
        <f>IF(Account!$F1001&lt;&gt;"", DATEVALUE(MID($A1001,4,3) &amp; LEFT($A1001,3) &amp; RIGHT($A1001,4)) + TIMEVALUE($B1001), "")</f>
        <v/>
      </c>
      <c r="P1001" s="34" t="str">
        <f>IF(Account!$F1001&lt;&gt;"", DATEVALUE(MID($C1001,4,3) &amp; LEFT($C1001,3) &amp; RIGHT($C1001,4)), "")</f>
        <v/>
      </c>
      <c r="Q1001" s="35" t="str">
        <f t="array" ref="Q1001">IF($R1001&lt;&gt;"",IFERROR(INDEX(ISIN!$B:$B,MATCH($R1001,ISIN!$C:$C,0))),)</f>
        <v/>
      </c>
      <c r="R1001" s="36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5" t="str">
        <f t="shared" si="1"/>
        <v/>
      </c>
      <c r="T1001" s="37" t="str">
        <f t="shared" si="2"/>
        <v/>
      </c>
      <c r="U1001" s="38" t="str">
        <f t="shared" si="3"/>
        <v/>
      </c>
      <c r="V1001" s="32" t="str">
        <f t="shared" si="4"/>
        <v/>
      </c>
      <c r="W1001" s="39" t="str">
        <f>IFERROR(__xludf.DUMMYFUNCTION(" IF(Account!$F1001&lt;&gt;"""", SPLIT(Account!$F1001, "" ""), """")"),"")</f>
        <v/>
      </c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</row>
    <row r="1002">
      <c r="A1002" s="12"/>
      <c r="B1002" s="12"/>
      <c r="C1002" s="12"/>
      <c r="D1002" s="12"/>
      <c r="E1002" s="12"/>
      <c r="F1002" s="13"/>
      <c r="G1002" s="291"/>
      <c r="H1002" s="12"/>
      <c r="I1002" s="12"/>
      <c r="J1002" s="12"/>
      <c r="K1002" s="12"/>
      <c r="L1002" s="13"/>
      <c r="M1002" s="30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2" t="str">
        <f>IFERROR(__xludf.DUMMYFUNCTION("IF(Account!$F1002&lt;&gt;"""", VALUE(REGEXREPLACE($I1002, ""\,"", ""."")), """")"),"")</f>
        <v/>
      </c>
      <c r="O1002" s="33" t="str">
        <f>IF(Account!$F1002&lt;&gt;"", DATEVALUE(MID($A1002,4,3) &amp; LEFT($A1002,3) &amp; RIGHT($A1002,4)) + TIMEVALUE($B1002), "")</f>
        <v/>
      </c>
      <c r="P1002" s="34" t="str">
        <f>IF(Account!$F1002&lt;&gt;"", DATEVALUE(MID($C1002,4,3) &amp; LEFT($C1002,3) &amp; RIGHT($C1002,4)), "")</f>
        <v/>
      </c>
      <c r="Q1002" s="35" t="str">
        <f t="array" ref="Q1002">IF($R1002&lt;&gt;"",IFERROR(INDEX(ISIN!$B:$B,MATCH($R1002,ISIN!$C:$C,0))),)</f>
        <v/>
      </c>
      <c r="R1002" s="36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5" t="str">
        <f t="shared" si="1"/>
        <v/>
      </c>
      <c r="T1002" s="37" t="str">
        <f t="shared" si="2"/>
        <v/>
      </c>
      <c r="U1002" s="38" t="str">
        <f t="shared" si="3"/>
        <v/>
      </c>
      <c r="V1002" s="32" t="str">
        <f t="shared" si="4"/>
        <v/>
      </c>
      <c r="W1002" s="39" t="str">
        <f>IFERROR(__xludf.DUMMYFUNCTION(" IF(Account!$F1002&lt;&gt;"""", SPLIT(Account!$F1002, "" ""), """")"),"")</f>
        <v/>
      </c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</row>
    <row r="1003">
      <c r="A1003" s="12"/>
      <c r="B1003" s="12"/>
      <c r="C1003" s="12"/>
      <c r="D1003" s="12"/>
      <c r="E1003" s="12"/>
      <c r="F1003" s="13"/>
      <c r="G1003" s="291"/>
      <c r="H1003" s="12"/>
      <c r="I1003" s="12"/>
      <c r="J1003" s="12"/>
      <c r="K1003" s="12"/>
      <c r="L1003" s="13"/>
      <c r="M1003" s="30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2" t="str">
        <f>IFERROR(__xludf.DUMMYFUNCTION("IF(Account!$F1003&lt;&gt;"""", VALUE(REGEXREPLACE($I1003, ""\,"", ""."")), """")"),"")</f>
        <v/>
      </c>
      <c r="O1003" s="33" t="str">
        <f>IF(Account!$F1003&lt;&gt;"", DATEVALUE(MID($A1003,4,3) &amp; LEFT($A1003,3) &amp; RIGHT($A1003,4)) + TIMEVALUE($B1003), "")</f>
        <v/>
      </c>
      <c r="P1003" s="34" t="str">
        <f>IF(Account!$F1003&lt;&gt;"", DATEVALUE(MID($C1003,4,3) &amp; LEFT($C1003,3) &amp; RIGHT($C1003,4)), "")</f>
        <v/>
      </c>
      <c r="Q1003" s="35" t="str">
        <f t="array" ref="Q1003">IF($R1003&lt;&gt;"",IFERROR(INDEX(ISIN!$B:$B,MATCH($R1003,ISIN!$C:$C,0))),)</f>
        <v/>
      </c>
      <c r="R1003" s="36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5" t="str">
        <f t="shared" si="1"/>
        <v/>
      </c>
      <c r="T1003" s="37" t="str">
        <f t="shared" si="2"/>
        <v/>
      </c>
      <c r="U1003" s="38" t="str">
        <f t="shared" si="3"/>
        <v/>
      </c>
      <c r="V1003" s="32" t="str">
        <f t="shared" si="4"/>
        <v/>
      </c>
      <c r="W1003" s="39" t="str">
        <f>IFERROR(__xludf.DUMMYFUNCTION(" IF(Account!$F1003&lt;&gt;"""", SPLIT(Account!$F1003, "" ""), """")"),"")</f>
        <v/>
      </c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</row>
    <row r="1004">
      <c r="A1004" s="12"/>
      <c r="B1004" s="12"/>
      <c r="C1004" s="12"/>
      <c r="D1004" s="12"/>
      <c r="E1004" s="12"/>
      <c r="F1004" s="13"/>
      <c r="G1004" s="291"/>
      <c r="H1004" s="12"/>
      <c r="I1004" s="12"/>
      <c r="J1004" s="12"/>
      <c r="K1004" s="12"/>
      <c r="L1004" s="13"/>
      <c r="M1004" s="30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2" t="str">
        <f>IFERROR(__xludf.DUMMYFUNCTION("IF(Account!$F1004&lt;&gt;"""", VALUE(REGEXREPLACE($I1004, ""\,"", ""."")), """")"),"")</f>
        <v/>
      </c>
      <c r="O1004" s="33" t="str">
        <f>IF(Account!$F1004&lt;&gt;"", DATEVALUE(MID($A1004,4,3) &amp; LEFT($A1004,3) &amp; RIGHT($A1004,4)) + TIMEVALUE($B1004), "")</f>
        <v/>
      </c>
      <c r="P1004" s="34" t="str">
        <f>IF(Account!$F1004&lt;&gt;"", DATEVALUE(MID($C1004,4,3) &amp; LEFT($C1004,3) &amp; RIGHT($C1004,4)), "")</f>
        <v/>
      </c>
      <c r="Q1004" s="35" t="str">
        <f t="array" ref="Q1004">IF($R1004&lt;&gt;"",IFERROR(INDEX(ISIN!$B:$B,MATCH($R1004,ISIN!$C:$C,0))),)</f>
        <v/>
      </c>
      <c r="R1004" s="36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5" t="str">
        <f t="shared" si="1"/>
        <v/>
      </c>
      <c r="T1004" s="37" t="str">
        <f t="shared" si="2"/>
        <v/>
      </c>
      <c r="U1004" s="38" t="str">
        <f t="shared" si="3"/>
        <v/>
      </c>
      <c r="V1004" s="32" t="str">
        <f t="shared" si="4"/>
        <v/>
      </c>
      <c r="W1004" s="39" t="str">
        <f>IFERROR(__xludf.DUMMYFUNCTION(" IF(Account!$F1004&lt;&gt;"""", SPLIT(Account!$F1004, "" ""), """")"),"")</f>
        <v/>
      </c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</row>
    <row r="1005">
      <c r="A1005" s="12"/>
      <c r="B1005" s="12"/>
      <c r="C1005" s="12"/>
      <c r="D1005" s="12"/>
      <c r="E1005" s="12"/>
      <c r="F1005" s="13"/>
      <c r="G1005" s="291"/>
      <c r="H1005" s="12"/>
      <c r="I1005" s="12"/>
      <c r="J1005" s="12"/>
      <c r="K1005" s="12"/>
      <c r="L1005" s="13"/>
      <c r="M1005" s="30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2" t="str">
        <f>IFERROR(__xludf.DUMMYFUNCTION("IF(Account!$F1005&lt;&gt;"""", VALUE(REGEXREPLACE($I1005, ""\,"", ""."")), """")"),"")</f>
        <v/>
      </c>
      <c r="O1005" s="33" t="str">
        <f>IF(Account!$F1005&lt;&gt;"", DATEVALUE(MID($A1005,4,3) &amp; LEFT($A1005,3) &amp; RIGHT($A1005,4)) + TIMEVALUE($B1005), "")</f>
        <v/>
      </c>
      <c r="P1005" s="34" t="str">
        <f>IF(Account!$F1005&lt;&gt;"", DATEVALUE(MID($C1005,4,3) &amp; LEFT($C1005,3) &amp; RIGHT($C1005,4)), "")</f>
        <v/>
      </c>
      <c r="Q1005" s="35" t="str">
        <f t="array" ref="Q1005">IF($R1005&lt;&gt;"",IFERROR(INDEX(ISIN!$B:$B,MATCH($R1005,ISIN!$C:$C,0))),)</f>
        <v/>
      </c>
      <c r="R1005" s="36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5" t="str">
        <f t="shared" si="1"/>
        <v/>
      </c>
      <c r="T1005" s="37" t="str">
        <f t="shared" si="2"/>
        <v/>
      </c>
      <c r="U1005" s="38" t="str">
        <f t="shared" si="3"/>
        <v/>
      </c>
      <c r="V1005" s="32" t="str">
        <f t="shared" si="4"/>
        <v/>
      </c>
      <c r="W1005" s="39" t="str">
        <f>IFERROR(__xludf.DUMMYFUNCTION(" IF(Account!$F1005&lt;&gt;"""", SPLIT(Account!$F1005, "" ""), """")"),"")</f>
        <v/>
      </c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</row>
    <row r="1006">
      <c r="A1006" s="12"/>
      <c r="B1006" s="12"/>
      <c r="C1006" s="12"/>
      <c r="D1006" s="12"/>
      <c r="E1006" s="12"/>
      <c r="F1006" s="13"/>
      <c r="G1006" s="291"/>
      <c r="H1006" s="12"/>
      <c r="I1006" s="12"/>
      <c r="J1006" s="12"/>
      <c r="K1006" s="12"/>
      <c r="L1006" s="13"/>
      <c r="M1006" s="30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2" t="str">
        <f>IFERROR(__xludf.DUMMYFUNCTION("IF(Account!$F1006&lt;&gt;"""", VALUE(REGEXREPLACE($I1006, ""\,"", ""."")), """")"),"")</f>
        <v/>
      </c>
      <c r="O1006" s="33" t="str">
        <f>IF(Account!$F1006&lt;&gt;"", DATEVALUE(MID($A1006,4,3) &amp; LEFT($A1006,3) &amp; RIGHT($A1006,4)) + TIMEVALUE($B1006), "")</f>
        <v/>
      </c>
      <c r="P1006" s="34" t="str">
        <f>IF(Account!$F1006&lt;&gt;"", DATEVALUE(MID($C1006,4,3) &amp; LEFT($C1006,3) &amp; RIGHT($C1006,4)), "")</f>
        <v/>
      </c>
      <c r="Q1006" s="35" t="str">
        <f t="array" ref="Q1006">IF($R1006&lt;&gt;"",IFERROR(INDEX(ISIN!$B:$B,MATCH($R1006,ISIN!$C:$C,0))),)</f>
        <v/>
      </c>
      <c r="R1006" s="36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5" t="str">
        <f t="shared" si="1"/>
        <v/>
      </c>
      <c r="T1006" s="37" t="str">
        <f t="shared" si="2"/>
        <v/>
      </c>
      <c r="U1006" s="38" t="str">
        <f t="shared" si="3"/>
        <v/>
      </c>
      <c r="V1006" s="32" t="str">
        <f t="shared" si="4"/>
        <v/>
      </c>
      <c r="W1006" s="39" t="str">
        <f>IFERROR(__xludf.DUMMYFUNCTION(" IF(Account!$F1006&lt;&gt;"""", SPLIT(Account!$F1006, "" ""), """")"),"")</f>
        <v/>
      </c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</row>
    <row r="1007">
      <c r="A1007" s="12"/>
      <c r="B1007" s="12"/>
      <c r="C1007" s="12"/>
      <c r="D1007" s="12"/>
      <c r="E1007" s="12"/>
      <c r="F1007" s="13"/>
      <c r="G1007" s="291"/>
      <c r="H1007" s="12"/>
      <c r="I1007" s="12"/>
      <c r="J1007" s="12"/>
      <c r="K1007" s="12"/>
      <c r="L1007" s="13"/>
      <c r="M1007" s="30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2" t="str">
        <f>IFERROR(__xludf.DUMMYFUNCTION("IF(Account!$F1007&lt;&gt;"""", VALUE(REGEXREPLACE($I1007, ""\,"", ""."")), """")"),"")</f>
        <v/>
      </c>
      <c r="O1007" s="33" t="str">
        <f>IF(Account!$F1007&lt;&gt;"", DATEVALUE(MID($A1007,4,3) &amp; LEFT($A1007,3) &amp; RIGHT($A1007,4)) + TIMEVALUE($B1007), "")</f>
        <v/>
      </c>
      <c r="P1007" s="34" t="str">
        <f>IF(Account!$F1007&lt;&gt;"", DATEVALUE(MID($C1007,4,3) &amp; LEFT($C1007,3) &amp; RIGHT($C1007,4)), "")</f>
        <v/>
      </c>
      <c r="Q1007" s="35" t="str">
        <f t="array" ref="Q1007">IF($R1007&lt;&gt;"",IFERROR(INDEX(ISIN!$B:$B,MATCH($R1007,ISIN!$C:$C,0))),)</f>
        <v/>
      </c>
      <c r="R1007" s="36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5" t="str">
        <f t="shared" si="1"/>
        <v/>
      </c>
      <c r="T1007" s="37" t="str">
        <f t="shared" si="2"/>
        <v/>
      </c>
      <c r="U1007" s="38" t="str">
        <f t="shared" si="3"/>
        <v/>
      </c>
      <c r="V1007" s="32" t="str">
        <f t="shared" si="4"/>
        <v/>
      </c>
      <c r="W1007" s="39" t="str">
        <f>IFERROR(__xludf.DUMMYFUNCTION(" IF(Account!$F1007&lt;&gt;"""", SPLIT(Account!$F1007, "" ""), """")"),"")</f>
        <v/>
      </c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</row>
    <row r="1008">
      <c r="A1008" s="12"/>
      <c r="B1008" s="12"/>
      <c r="C1008" s="12"/>
      <c r="D1008" s="12"/>
      <c r="E1008" s="12"/>
      <c r="F1008" s="13"/>
      <c r="G1008" s="291"/>
      <c r="H1008" s="12"/>
      <c r="I1008" s="12"/>
      <c r="J1008" s="12"/>
      <c r="K1008" s="12"/>
      <c r="L1008" s="13"/>
      <c r="M1008" s="30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2" t="str">
        <f>IFERROR(__xludf.DUMMYFUNCTION("IF(Account!$F1008&lt;&gt;"""", VALUE(REGEXREPLACE($I1008, ""\,"", ""."")), """")"),"")</f>
        <v/>
      </c>
      <c r="O1008" s="33" t="str">
        <f>IF(Account!$F1008&lt;&gt;"", DATEVALUE(MID($A1008,4,3) &amp; LEFT($A1008,3) &amp; RIGHT($A1008,4)) + TIMEVALUE($B1008), "")</f>
        <v/>
      </c>
      <c r="P1008" s="34" t="str">
        <f>IF(Account!$F1008&lt;&gt;"", DATEVALUE(MID($C1008,4,3) &amp; LEFT($C1008,3) &amp; RIGHT($C1008,4)), "")</f>
        <v/>
      </c>
      <c r="Q1008" s="35" t="str">
        <f t="array" ref="Q1008">IF($R1008&lt;&gt;"",IFERROR(INDEX(ISIN!$B:$B,MATCH($R1008,ISIN!$C:$C,0))),)</f>
        <v/>
      </c>
      <c r="R1008" s="36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5" t="str">
        <f t="shared" si="1"/>
        <v/>
      </c>
      <c r="T1008" s="37" t="str">
        <f t="shared" si="2"/>
        <v/>
      </c>
      <c r="U1008" s="38" t="str">
        <f t="shared" si="3"/>
        <v/>
      </c>
      <c r="V1008" s="32" t="str">
        <f t="shared" si="4"/>
        <v/>
      </c>
      <c r="W1008" s="39" t="str">
        <f>IFERROR(__xludf.DUMMYFUNCTION(" IF(Account!$F1008&lt;&gt;"""", SPLIT(Account!$F1008, "" ""), """")"),"")</f>
        <v/>
      </c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</row>
    <row r="1009">
      <c r="A1009" s="12"/>
      <c r="B1009" s="12"/>
      <c r="C1009" s="12"/>
      <c r="D1009" s="12"/>
      <c r="E1009" s="12"/>
      <c r="F1009" s="13"/>
      <c r="G1009" s="291"/>
      <c r="H1009" s="12"/>
      <c r="I1009" s="12"/>
      <c r="J1009" s="12"/>
      <c r="K1009" s="12"/>
      <c r="L1009" s="13"/>
      <c r="M1009" s="30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2" t="str">
        <f>IFERROR(__xludf.DUMMYFUNCTION("IF(Account!$F1009&lt;&gt;"""", VALUE(REGEXREPLACE($I1009, ""\,"", ""."")), """")"),"")</f>
        <v/>
      </c>
      <c r="O1009" s="33" t="str">
        <f>IF(Account!$F1009&lt;&gt;"", DATEVALUE(MID($A1009,4,3) &amp; LEFT($A1009,3) &amp; RIGHT($A1009,4)) + TIMEVALUE($B1009), "")</f>
        <v/>
      </c>
      <c r="P1009" s="34" t="str">
        <f>IF(Account!$F1009&lt;&gt;"", DATEVALUE(MID($C1009,4,3) &amp; LEFT($C1009,3) &amp; RIGHT($C1009,4)), "")</f>
        <v/>
      </c>
      <c r="Q1009" s="35" t="str">
        <f t="array" ref="Q1009">IF($R1009&lt;&gt;"",IFERROR(INDEX(ISIN!$B:$B,MATCH($R1009,ISIN!$C:$C,0))),)</f>
        <v/>
      </c>
      <c r="R1009" s="36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5" t="str">
        <f t="shared" si="1"/>
        <v/>
      </c>
      <c r="T1009" s="37" t="str">
        <f t="shared" si="2"/>
        <v/>
      </c>
      <c r="U1009" s="38" t="str">
        <f t="shared" si="3"/>
        <v/>
      </c>
      <c r="V1009" s="32" t="str">
        <f t="shared" si="4"/>
        <v/>
      </c>
      <c r="W1009" s="39" t="str">
        <f>IFERROR(__xludf.DUMMYFUNCTION(" IF(Account!$F1009&lt;&gt;"""", SPLIT(Account!$F1009, "" ""), """")"),"")</f>
        <v/>
      </c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</row>
    <row r="1010">
      <c r="A1010" s="12"/>
      <c r="B1010" s="12"/>
      <c r="C1010" s="12"/>
      <c r="D1010" s="12"/>
      <c r="E1010" s="12"/>
      <c r="F1010" s="13"/>
      <c r="G1010" s="12"/>
      <c r="H1010" s="12"/>
      <c r="I1010" s="12"/>
      <c r="J1010" s="12"/>
      <c r="K1010" s="12"/>
      <c r="L1010" s="13"/>
      <c r="M1010" s="30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2" t="str">
        <f>IFERROR(__xludf.DUMMYFUNCTION("IF(Account!$F1010&lt;&gt;"""", VALUE(REGEXREPLACE($I1010, ""\,"", ""."")), """")"),"")</f>
        <v/>
      </c>
      <c r="O1010" s="33" t="str">
        <f>IF(Account!$F1010&lt;&gt;"", DATEVALUE(MID($A1010,4,3) &amp; LEFT($A1010,3) &amp; RIGHT($A1010,4)) + TIMEVALUE($B1010), "")</f>
        <v/>
      </c>
      <c r="P1010" s="34" t="str">
        <f>IF(Account!$F1010&lt;&gt;"", DATEVALUE(MID($C1010,4,3) &amp; LEFT($C1010,3) &amp; RIGHT($C1010,4)), "")</f>
        <v/>
      </c>
      <c r="Q1010" s="35" t="str">
        <f t="array" ref="Q1010">IF($R1010&lt;&gt;"",IFERROR(INDEX(ISIN!$B:$B,MATCH($R1010,ISIN!$C:$C,0))),)</f>
        <v/>
      </c>
      <c r="R1010" s="36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5" t="str">
        <f t="shared" si="1"/>
        <v/>
      </c>
      <c r="T1010" s="37" t="str">
        <f t="shared" si="2"/>
        <v/>
      </c>
      <c r="U1010" s="38" t="str">
        <f t="shared" si="3"/>
        <v/>
      </c>
      <c r="V1010" s="32" t="str">
        <f t="shared" si="4"/>
        <v/>
      </c>
      <c r="W1010" s="39" t="str">
        <f>IFERROR(__xludf.DUMMYFUNCTION(" IF(Account!$F1010&lt;&gt;"""", SPLIT(Account!$F1010, "" ""), """")"),"")</f>
        <v/>
      </c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</row>
    <row r="1011">
      <c r="A1011" s="12"/>
      <c r="B1011" s="12"/>
      <c r="C1011" s="12"/>
      <c r="D1011" s="12"/>
      <c r="E1011" s="12"/>
      <c r="F1011" s="13"/>
      <c r="G1011" s="291"/>
      <c r="H1011" s="12"/>
      <c r="I1011" s="12"/>
      <c r="J1011" s="12"/>
      <c r="K1011" s="12"/>
      <c r="L1011" s="13"/>
      <c r="M1011" s="30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2" t="str">
        <f>IFERROR(__xludf.DUMMYFUNCTION("IF(Account!$F1011&lt;&gt;"""", VALUE(REGEXREPLACE($I1011, ""\,"", ""."")), """")"),"")</f>
        <v/>
      </c>
      <c r="O1011" s="33" t="str">
        <f>IF(Account!$F1011&lt;&gt;"", DATEVALUE(MID($A1011,4,3) &amp; LEFT($A1011,3) &amp; RIGHT($A1011,4)) + TIMEVALUE($B1011), "")</f>
        <v/>
      </c>
      <c r="P1011" s="34" t="str">
        <f>IF(Account!$F1011&lt;&gt;"", DATEVALUE(MID($C1011,4,3) &amp; LEFT($C1011,3) &amp; RIGHT($C1011,4)), "")</f>
        <v/>
      </c>
      <c r="Q1011" s="35" t="str">
        <f t="array" ref="Q1011">IF($R1011&lt;&gt;"",IFERROR(INDEX(ISIN!$B:$B,MATCH($R1011,ISIN!$C:$C,0))),)</f>
        <v/>
      </c>
      <c r="R1011" s="36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5" t="str">
        <f t="shared" si="1"/>
        <v/>
      </c>
      <c r="T1011" s="37" t="str">
        <f t="shared" si="2"/>
        <v/>
      </c>
      <c r="U1011" s="38" t="str">
        <f t="shared" si="3"/>
        <v/>
      </c>
      <c r="V1011" s="32" t="str">
        <f t="shared" si="4"/>
        <v/>
      </c>
      <c r="W1011" s="39" t="str">
        <f>IFERROR(__xludf.DUMMYFUNCTION(" IF(Account!$F1011&lt;&gt;"""", SPLIT(Account!$F1011, "" ""), """")"),"")</f>
        <v/>
      </c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</row>
    <row r="1012">
      <c r="A1012" s="12"/>
      <c r="B1012" s="12"/>
      <c r="C1012" s="12"/>
      <c r="D1012" s="12"/>
      <c r="E1012" s="12"/>
      <c r="F1012" s="13"/>
      <c r="G1012" s="12"/>
      <c r="H1012" s="12"/>
      <c r="I1012" s="12"/>
      <c r="J1012" s="12"/>
      <c r="K1012" s="12"/>
      <c r="L1012" s="13"/>
      <c r="M1012" s="30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2" t="str">
        <f>IFERROR(__xludf.DUMMYFUNCTION("IF(Account!$F1012&lt;&gt;"""", VALUE(REGEXREPLACE($I1012, ""\,"", ""."")), """")"),"")</f>
        <v/>
      </c>
      <c r="O1012" s="33" t="str">
        <f>IF(Account!$F1012&lt;&gt;"", DATEVALUE(MID($A1012,4,3) &amp; LEFT($A1012,3) &amp; RIGHT($A1012,4)) + TIMEVALUE($B1012), "")</f>
        <v/>
      </c>
      <c r="P1012" s="34" t="str">
        <f>IF(Account!$F1012&lt;&gt;"", DATEVALUE(MID($C1012,4,3) &amp; LEFT($C1012,3) &amp; RIGHT($C1012,4)), "")</f>
        <v/>
      </c>
      <c r="Q1012" s="35" t="str">
        <f t="array" ref="Q1012">IF($R1012&lt;&gt;"",IFERROR(INDEX(ISIN!$B:$B,MATCH($R1012,ISIN!$C:$C,0))),)</f>
        <v/>
      </c>
      <c r="R1012" s="36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5" t="str">
        <f t="shared" si="1"/>
        <v/>
      </c>
      <c r="T1012" s="37" t="str">
        <f t="shared" si="2"/>
        <v/>
      </c>
      <c r="U1012" s="38" t="str">
        <f t="shared" si="3"/>
        <v/>
      </c>
      <c r="V1012" s="32" t="str">
        <f t="shared" si="4"/>
        <v/>
      </c>
      <c r="W1012" s="39" t="str">
        <f>IFERROR(__xludf.DUMMYFUNCTION(" IF(Account!$F1012&lt;&gt;"""", SPLIT(Account!$F1012, "" ""), """")"),"")</f>
        <v/>
      </c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</row>
    <row r="1013">
      <c r="A1013" s="291"/>
      <c r="B1013" s="291"/>
      <c r="C1013" s="291"/>
      <c r="D1013" s="291"/>
      <c r="E1013" s="291"/>
      <c r="F1013" s="335"/>
      <c r="G1013" s="291"/>
      <c r="H1013" s="291"/>
      <c r="I1013" s="291"/>
      <c r="J1013" s="291"/>
      <c r="K1013" s="291"/>
      <c r="L1013" s="13"/>
      <c r="M1013" s="30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2" t="str">
        <f>IFERROR(__xludf.DUMMYFUNCTION("IF(Account!$F1013&lt;&gt;"""", VALUE(REGEXREPLACE($I1013, ""\,"", ""."")), """")"),"")</f>
        <v/>
      </c>
      <c r="O1013" s="33" t="str">
        <f>IF(Account!$F1013&lt;&gt;"", DATEVALUE(MID($A1013,4,3) &amp; LEFT($A1013,3) &amp; RIGHT($A1013,4)) + TIMEVALUE($B1013), "")</f>
        <v/>
      </c>
      <c r="P1013" s="34" t="str">
        <f>IF(Account!$F1013&lt;&gt;"", DATEVALUE(MID($C1013,4,3) &amp; LEFT($C1013,3) &amp; RIGHT($C1013,4)), "")</f>
        <v/>
      </c>
      <c r="Q1013" s="35" t="str">
        <f t="array" ref="Q1013">IF($R1013&lt;&gt;"",IFERROR(INDEX(ISIN!$B:$B,MATCH($R1013,ISIN!$C:$C,0))),)</f>
        <v/>
      </c>
      <c r="R1013" s="36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5" t="str">
        <f t="shared" si="1"/>
        <v/>
      </c>
      <c r="T1013" s="37" t="str">
        <f t="shared" si="2"/>
        <v/>
      </c>
      <c r="U1013" s="38" t="str">
        <f t="shared" si="3"/>
        <v/>
      </c>
      <c r="V1013" s="32" t="str">
        <f t="shared" si="4"/>
        <v/>
      </c>
      <c r="W1013" s="39" t="str">
        <f>IFERROR(__xludf.DUMMYFUNCTION(" IF(Account!$F1013&lt;&gt;"""", SPLIT(Account!$F1013, "" ""), """")"),"")</f>
        <v/>
      </c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</row>
    <row r="1014">
      <c r="A1014" s="12"/>
      <c r="B1014" s="12"/>
      <c r="C1014" s="12"/>
      <c r="D1014" s="12"/>
      <c r="E1014" s="12"/>
      <c r="F1014" s="13"/>
      <c r="G1014" s="291"/>
      <c r="H1014" s="12"/>
      <c r="I1014" s="12"/>
      <c r="J1014" s="12"/>
      <c r="K1014" s="12"/>
      <c r="L1014" s="13"/>
      <c r="M1014" s="30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2" t="str">
        <f>IFERROR(__xludf.DUMMYFUNCTION("IF(Account!$F1014&lt;&gt;"""", VALUE(REGEXREPLACE($I1014, ""\,"", ""."")), """")"),"")</f>
        <v/>
      </c>
      <c r="O1014" s="33" t="str">
        <f>IF(Account!$F1014&lt;&gt;"", DATEVALUE(MID($A1014,4,3) &amp; LEFT($A1014,3) &amp; RIGHT($A1014,4)) + TIMEVALUE($B1014), "")</f>
        <v/>
      </c>
      <c r="P1014" s="34" t="str">
        <f>IF(Account!$F1014&lt;&gt;"", DATEVALUE(MID($C1014,4,3) &amp; LEFT($C1014,3) &amp; RIGHT($C1014,4)), "")</f>
        <v/>
      </c>
      <c r="Q1014" s="35" t="str">
        <f t="array" ref="Q1014">IF($R1014&lt;&gt;"",IFERROR(INDEX(ISIN!$B:$B,MATCH($R1014,ISIN!$C:$C,0))),)</f>
        <v/>
      </c>
      <c r="R1014" s="36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5" t="str">
        <f t="shared" si="1"/>
        <v/>
      </c>
      <c r="T1014" s="37" t="str">
        <f t="shared" si="2"/>
        <v/>
      </c>
      <c r="U1014" s="38" t="str">
        <f t="shared" si="3"/>
        <v/>
      </c>
      <c r="V1014" s="32" t="str">
        <f t="shared" si="4"/>
        <v/>
      </c>
      <c r="W1014" s="39" t="str">
        <f>IFERROR(__xludf.DUMMYFUNCTION(" IF(Account!$F1014&lt;&gt;"""", SPLIT(Account!$F1014, "" ""), """")"),"")</f>
        <v/>
      </c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</row>
    <row r="1015">
      <c r="A1015" s="12"/>
      <c r="B1015" s="12"/>
      <c r="C1015" s="12"/>
      <c r="D1015" s="12"/>
      <c r="E1015" s="12"/>
      <c r="F1015" s="13"/>
      <c r="G1015" s="291"/>
      <c r="H1015" s="12"/>
      <c r="I1015" s="12"/>
      <c r="J1015" s="12"/>
      <c r="K1015" s="12"/>
      <c r="L1015" s="13"/>
      <c r="M1015" s="30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2" t="str">
        <f>IFERROR(__xludf.DUMMYFUNCTION("IF(Account!$F1015&lt;&gt;"""", VALUE(REGEXREPLACE($I1015, ""\,"", ""."")), """")"),"")</f>
        <v/>
      </c>
      <c r="O1015" s="33" t="str">
        <f>IF(Account!$F1015&lt;&gt;"", DATEVALUE(MID($A1015,4,3) &amp; LEFT($A1015,3) &amp; RIGHT($A1015,4)) + TIMEVALUE($B1015), "")</f>
        <v/>
      </c>
      <c r="P1015" s="34" t="str">
        <f>IF(Account!$F1015&lt;&gt;"", DATEVALUE(MID($C1015,4,3) &amp; LEFT($C1015,3) &amp; RIGHT($C1015,4)), "")</f>
        <v/>
      </c>
      <c r="Q1015" s="35" t="str">
        <f t="array" ref="Q1015">IF($R1015&lt;&gt;"",IFERROR(INDEX(ISIN!$B:$B,MATCH($R1015,ISIN!$C:$C,0))),)</f>
        <v/>
      </c>
      <c r="R1015" s="36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5" t="str">
        <f t="shared" si="1"/>
        <v/>
      </c>
      <c r="T1015" s="37" t="str">
        <f t="shared" si="2"/>
        <v/>
      </c>
      <c r="U1015" s="38" t="str">
        <f t="shared" si="3"/>
        <v/>
      </c>
      <c r="V1015" s="32" t="str">
        <f t="shared" si="4"/>
        <v/>
      </c>
      <c r="W1015" s="39" t="str">
        <f>IFERROR(__xludf.DUMMYFUNCTION(" IF(Account!$F1015&lt;&gt;"""", SPLIT(Account!$F1015, "" ""), """")"),"")</f>
        <v/>
      </c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</row>
    <row r="1016">
      <c r="A1016" s="12"/>
      <c r="B1016" s="12"/>
      <c r="C1016" s="12"/>
      <c r="D1016" s="12"/>
      <c r="E1016" s="12"/>
      <c r="F1016" s="13"/>
      <c r="G1016" s="291"/>
      <c r="H1016" s="12"/>
      <c r="I1016" s="12"/>
      <c r="J1016" s="12"/>
      <c r="K1016" s="12"/>
      <c r="L1016" s="13"/>
      <c r="M1016" s="30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2" t="str">
        <f>IFERROR(__xludf.DUMMYFUNCTION("IF(Account!$F1016&lt;&gt;"""", VALUE(REGEXREPLACE($I1016, ""\,"", ""."")), """")"),"")</f>
        <v/>
      </c>
      <c r="O1016" s="33" t="str">
        <f>IF(Account!$F1016&lt;&gt;"", DATEVALUE(MID($A1016,4,3) &amp; LEFT($A1016,3) &amp; RIGHT($A1016,4)) + TIMEVALUE($B1016), "")</f>
        <v/>
      </c>
      <c r="P1016" s="34" t="str">
        <f>IF(Account!$F1016&lt;&gt;"", DATEVALUE(MID($C1016,4,3) &amp; LEFT($C1016,3) &amp; RIGHT($C1016,4)), "")</f>
        <v/>
      </c>
      <c r="Q1016" s="35" t="str">
        <f t="array" ref="Q1016">IF($R1016&lt;&gt;"",IFERROR(INDEX(ISIN!$B:$B,MATCH($R1016,ISIN!$C:$C,0))),)</f>
        <v/>
      </c>
      <c r="R1016" s="36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5" t="str">
        <f t="shared" si="1"/>
        <v/>
      </c>
      <c r="T1016" s="37" t="str">
        <f t="shared" si="2"/>
        <v/>
      </c>
      <c r="U1016" s="38" t="str">
        <f t="shared" si="3"/>
        <v/>
      </c>
      <c r="V1016" s="32" t="str">
        <f t="shared" si="4"/>
        <v/>
      </c>
      <c r="W1016" s="39" t="str">
        <f>IFERROR(__xludf.DUMMYFUNCTION(" IF(Account!$F1016&lt;&gt;"""", SPLIT(Account!$F1016, "" ""), """")"),"")</f>
        <v/>
      </c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</row>
    <row r="1017">
      <c r="A1017" s="12"/>
      <c r="B1017" s="12"/>
      <c r="C1017" s="12"/>
      <c r="D1017" s="12"/>
      <c r="E1017" s="12"/>
      <c r="F1017" s="13"/>
      <c r="G1017" s="12"/>
      <c r="H1017" s="12"/>
      <c r="I1017" s="12"/>
      <c r="J1017" s="12"/>
      <c r="K1017" s="12"/>
      <c r="L1017" s="13"/>
      <c r="M1017" s="30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2" t="str">
        <f>IFERROR(__xludf.DUMMYFUNCTION("IF(Account!$F1017&lt;&gt;"""", VALUE(REGEXREPLACE($I1017, ""\,"", ""."")), """")"),"")</f>
        <v/>
      </c>
      <c r="O1017" s="33" t="str">
        <f>IF(Account!$F1017&lt;&gt;"", DATEVALUE(MID($A1017,4,3) &amp; LEFT($A1017,3) &amp; RIGHT($A1017,4)) + TIMEVALUE($B1017), "")</f>
        <v/>
      </c>
      <c r="P1017" s="34" t="str">
        <f>IF(Account!$F1017&lt;&gt;"", DATEVALUE(MID($C1017,4,3) &amp; LEFT($C1017,3) &amp; RIGHT($C1017,4)), "")</f>
        <v/>
      </c>
      <c r="Q1017" s="35" t="str">
        <f t="array" ref="Q1017">IF($R1017&lt;&gt;"",IFERROR(INDEX(ISIN!$B:$B,MATCH($R1017,ISIN!$C:$C,0))),)</f>
        <v/>
      </c>
      <c r="R1017" s="36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5" t="str">
        <f t="shared" si="1"/>
        <v/>
      </c>
      <c r="T1017" s="37" t="str">
        <f t="shared" si="2"/>
        <v/>
      </c>
      <c r="U1017" s="38" t="str">
        <f t="shared" si="3"/>
        <v/>
      </c>
      <c r="V1017" s="32" t="str">
        <f t="shared" si="4"/>
        <v/>
      </c>
      <c r="W1017" s="39" t="str">
        <f>IFERROR(__xludf.DUMMYFUNCTION(" IF(Account!$F1017&lt;&gt;"""", SPLIT(Account!$F1017, "" ""), """")"),"")</f>
        <v/>
      </c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</row>
    <row r="1018">
      <c r="A1018" s="12"/>
      <c r="B1018" s="12"/>
      <c r="C1018" s="12"/>
      <c r="D1018" s="12"/>
      <c r="E1018" s="12"/>
      <c r="F1018" s="13"/>
      <c r="G1018" s="291"/>
      <c r="H1018" s="12"/>
      <c r="I1018" s="12"/>
      <c r="J1018" s="12"/>
      <c r="K1018" s="12"/>
      <c r="L1018" s="13"/>
      <c r="M1018" s="30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2" t="str">
        <f>IFERROR(__xludf.DUMMYFUNCTION("IF(Account!$F1018&lt;&gt;"""", VALUE(REGEXREPLACE($I1018, ""\,"", ""."")), """")"),"")</f>
        <v/>
      </c>
      <c r="O1018" s="33" t="str">
        <f>IF(Account!$F1018&lt;&gt;"", DATEVALUE(MID($A1018,4,3) &amp; LEFT($A1018,3) &amp; RIGHT($A1018,4)) + TIMEVALUE($B1018), "")</f>
        <v/>
      </c>
      <c r="P1018" s="34" t="str">
        <f>IF(Account!$F1018&lt;&gt;"", DATEVALUE(MID($C1018,4,3) &amp; LEFT($C1018,3) &amp; RIGHT($C1018,4)), "")</f>
        <v/>
      </c>
      <c r="Q1018" s="35" t="str">
        <f t="array" ref="Q1018">IF($R1018&lt;&gt;"",IFERROR(INDEX(ISIN!$B:$B,MATCH($R1018,ISIN!$C:$C,0))),)</f>
        <v/>
      </c>
      <c r="R1018" s="36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5" t="str">
        <f t="shared" si="1"/>
        <v/>
      </c>
      <c r="T1018" s="37" t="str">
        <f t="shared" si="2"/>
        <v/>
      </c>
      <c r="U1018" s="38" t="str">
        <f t="shared" si="3"/>
        <v/>
      </c>
      <c r="V1018" s="32" t="str">
        <f t="shared" si="4"/>
        <v/>
      </c>
      <c r="W1018" s="39" t="str">
        <f>IFERROR(__xludf.DUMMYFUNCTION(" IF(Account!$F1018&lt;&gt;"""", SPLIT(Account!$F1018, "" ""), """")"),"")</f>
        <v/>
      </c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</row>
    <row r="1019">
      <c r="A1019" s="12"/>
      <c r="B1019" s="12"/>
      <c r="C1019" s="12"/>
      <c r="D1019" s="12"/>
      <c r="E1019" s="12"/>
      <c r="F1019" s="13"/>
      <c r="G1019" s="12"/>
      <c r="H1019" s="12"/>
      <c r="I1019" s="12"/>
      <c r="J1019" s="12"/>
      <c r="K1019" s="12"/>
      <c r="L1019" s="13"/>
      <c r="M1019" s="30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2" t="str">
        <f>IFERROR(__xludf.DUMMYFUNCTION("IF(Account!$F1019&lt;&gt;"""", VALUE(REGEXREPLACE($I1019, ""\,"", ""."")), """")"),"")</f>
        <v/>
      </c>
      <c r="O1019" s="33" t="str">
        <f>IF(Account!$F1019&lt;&gt;"", DATEVALUE(MID($A1019,4,3) &amp; LEFT($A1019,3) &amp; RIGHT($A1019,4)) + TIMEVALUE($B1019), "")</f>
        <v/>
      </c>
      <c r="P1019" s="34" t="str">
        <f>IF(Account!$F1019&lt;&gt;"", DATEVALUE(MID($C1019,4,3) &amp; LEFT($C1019,3) &amp; RIGHT($C1019,4)), "")</f>
        <v/>
      </c>
      <c r="Q1019" s="35" t="str">
        <f t="array" ref="Q1019">IF($R1019&lt;&gt;"",IFERROR(INDEX(ISIN!$B:$B,MATCH($R1019,ISIN!$C:$C,0))),)</f>
        <v/>
      </c>
      <c r="R1019" s="36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5" t="str">
        <f t="shared" si="1"/>
        <v/>
      </c>
      <c r="T1019" s="37" t="str">
        <f t="shared" si="2"/>
        <v/>
      </c>
      <c r="U1019" s="38" t="str">
        <f t="shared" si="3"/>
        <v/>
      </c>
      <c r="V1019" s="32" t="str">
        <f t="shared" si="4"/>
        <v/>
      </c>
      <c r="W1019" s="39" t="str">
        <f>IFERROR(__xludf.DUMMYFUNCTION(" IF(Account!$F1019&lt;&gt;"""", SPLIT(Account!$F1019, "" ""), """")"),"")</f>
        <v/>
      </c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</row>
    <row r="1020">
      <c r="A1020" s="12"/>
      <c r="B1020" s="12"/>
      <c r="C1020" s="12"/>
      <c r="D1020" s="12"/>
      <c r="E1020" s="12"/>
      <c r="F1020" s="13"/>
      <c r="G1020" s="291"/>
      <c r="H1020" s="12"/>
      <c r="I1020" s="12"/>
      <c r="J1020" s="12"/>
      <c r="K1020" s="12"/>
      <c r="L1020" s="13"/>
      <c r="M1020" s="30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2" t="str">
        <f>IFERROR(__xludf.DUMMYFUNCTION("IF(Account!$F1020&lt;&gt;"""", VALUE(REGEXREPLACE($I1020, ""\,"", ""."")), """")"),"")</f>
        <v/>
      </c>
      <c r="O1020" s="33" t="str">
        <f>IF(Account!$F1020&lt;&gt;"", DATEVALUE(MID($A1020,4,3) &amp; LEFT($A1020,3) &amp; RIGHT($A1020,4)) + TIMEVALUE($B1020), "")</f>
        <v/>
      </c>
      <c r="P1020" s="34" t="str">
        <f>IF(Account!$F1020&lt;&gt;"", DATEVALUE(MID($C1020,4,3) &amp; LEFT($C1020,3) &amp; RIGHT($C1020,4)), "")</f>
        <v/>
      </c>
      <c r="Q1020" s="35" t="str">
        <f t="array" ref="Q1020">IF($R1020&lt;&gt;"",IFERROR(INDEX(ISIN!$B:$B,MATCH($R1020,ISIN!$C:$C,0))),)</f>
        <v/>
      </c>
      <c r="R1020" s="36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5" t="str">
        <f t="shared" si="1"/>
        <v/>
      </c>
      <c r="T1020" s="37" t="str">
        <f t="shared" si="2"/>
        <v/>
      </c>
      <c r="U1020" s="38" t="str">
        <f t="shared" si="3"/>
        <v/>
      </c>
      <c r="V1020" s="32" t="str">
        <f t="shared" si="4"/>
        <v/>
      </c>
      <c r="W1020" s="39" t="str">
        <f>IFERROR(__xludf.DUMMYFUNCTION(" IF(Account!$F1020&lt;&gt;"""", SPLIT(Account!$F1020, "" ""), """")"),"")</f>
        <v/>
      </c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</row>
    <row r="1021">
      <c r="A1021" s="12"/>
      <c r="B1021" s="12"/>
      <c r="C1021" s="12"/>
      <c r="D1021" s="12"/>
      <c r="E1021" s="12"/>
      <c r="F1021" s="13"/>
      <c r="G1021" s="12"/>
      <c r="H1021" s="12"/>
      <c r="I1021" s="12"/>
      <c r="J1021" s="12"/>
      <c r="K1021" s="12"/>
      <c r="L1021" s="13"/>
      <c r="M1021" s="30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2" t="str">
        <f>IFERROR(__xludf.DUMMYFUNCTION("IF(Account!$F1021&lt;&gt;"""", VALUE(REGEXREPLACE($I1021, ""\,"", ""."")), """")"),"")</f>
        <v/>
      </c>
      <c r="O1021" s="33" t="str">
        <f>IF(Account!$F1021&lt;&gt;"", DATEVALUE(MID($A1021,4,3) &amp; LEFT($A1021,3) &amp; RIGHT($A1021,4)) + TIMEVALUE($B1021), "")</f>
        <v/>
      </c>
      <c r="P1021" s="34" t="str">
        <f>IF(Account!$F1021&lt;&gt;"", DATEVALUE(MID($C1021,4,3) &amp; LEFT($C1021,3) &amp; RIGHT($C1021,4)), "")</f>
        <v/>
      </c>
      <c r="Q1021" s="35" t="str">
        <f t="array" ref="Q1021">IF($R1021&lt;&gt;"",IFERROR(INDEX(ISIN!$B:$B,MATCH($R1021,ISIN!$C:$C,0))),)</f>
        <v/>
      </c>
      <c r="R1021" s="36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5" t="str">
        <f t="shared" si="1"/>
        <v/>
      </c>
      <c r="T1021" s="37" t="str">
        <f t="shared" si="2"/>
        <v/>
      </c>
      <c r="U1021" s="38" t="str">
        <f t="shared" si="3"/>
        <v/>
      </c>
      <c r="V1021" s="32" t="str">
        <f t="shared" si="4"/>
        <v/>
      </c>
      <c r="W1021" s="39" t="str">
        <f>IFERROR(__xludf.DUMMYFUNCTION(" IF(Account!$F1021&lt;&gt;"""", SPLIT(Account!$F1021, "" ""), """")"),"")</f>
        <v/>
      </c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</row>
    <row r="1022">
      <c r="A1022" s="12"/>
      <c r="B1022" s="12"/>
      <c r="C1022" s="12"/>
      <c r="D1022" s="12"/>
      <c r="E1022" s="12"/>
      <c r="F1022" s="13"/>
      <c r="G1022" s="291"/>
      <c r="H1022" s="12"/>
      <c r="I1022" s="12"/>
      <c r="J1022" s="12"/>
      <c r="K1022" s="12"/>
      <c r="L1022" s="13"/>
      <c r="M1022" s="30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2" t="str">
        <f>IFERROR(__xludf.DUMMYFUNCTION("IF(Account!$F1022&lt;&gt;"""", VALUE(REGEXREPLACE($I1022, ""\,"", ""."")), """")"),"")</f>
        <v/>
      </c>
      <c r="O1022" s="33" t="str">
        <f>IF(Account!$F1022&lt;&gt;"", DATEVALUE(MID($A1022,4,3) &amp; LEFT($A1022,3) &amp; RIGHT($A1022,4)) + TIMEVALUE($B1022), "")</f>
        <v/>
      </c>
      <c r="P1022" s="34" t="str">
        <f>IF(Account!$F1022&lt;&gt;"", DATEVALUE(MID($C1022,4,3) &amp; LEFT($C1022,3) &amp; RIGHT($C1022,4)), "")</f>
        <v/>
      </c>
      <c r="Q1022" s="35" t="str">
        <f t="array" ref="Q1022">IF($R1022&lt;&gt;"",IFERROR(INDEX(ISIN!$B:$B,MATCH($R1022,ISIN!$C:$C,0))),)</f>
        <v/>
      </c>
      <c r="R1022" s="36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5" t="str">
        <f t="shared" si="1"/>
        <v/>
      </c>
      <c r="T1022" s="37" t="str">
        <f t="shared" si="2"/>
        <v/>
      </c>
      <c r="U1022" s="38" t="str">
        <f t="shared" si="3"/>
        <v/>
      </c>
      <c r="V1022" s="32" t="str">
        <f t="shared" si="4"/>
        <v/>
      </c>
      <c r="W1022" s="39" t="str">
        <f>IFERROR(__xludf.DUMMYFUNCTION(" IF(Account!$F1022&lt;&gt;"""", SPLIT(Account!$F1022, "" ""), """")"),"")</f>
        <v/>
      </c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</row>
    <row r="1023">
      <c r="A1023" s="12"/>
      <c r="B1023" s="12"/>
      <c r="C1023" s="12"/>
      <c r="D1023" s="12"/>
      <c r="E1023" s="12"/>
      <c r="F1023" s="13"/>
      <c r="G1023" s="12"/>
      <c r="H1023" s="12"/>
      <c r="I1023" s="12"/>
      <c r="J1023" s="12"/>
      <c r="K1023" s="12"/>
      <c r="L1023" s="13"/>
      <c r="M1023" s="30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2" t="str">
        <f>IFERROR(__xludf.DUMMYFUNCTION("IF(Account!$F1023&lt;&gt;"""", VALUE(REGEXREPLACE($I1023, ""\,"", ""."")), """")"),"")</f>
        <v/>
      </c>
      <c r="O1023" s="33" t="str">
        <f>IF(Account!$F1023&lt;&gt;"", DATEVALUE(MID($A1023,4,3) &amp; LEFT($A1023,3) &amp; RIGHT($A1023,4)) + TIMEVALUE($B1023), "")</f>
        <v/>
      </c>
      <c r="P1023" s="34" t="str">
        <f>IF(Account!$F1023&lt;&gt;"", DATEVALUE(MID($C1023,4,3) &amp; LEFT($C1023,3) &amp; RIGHT($C1023,4)), "")</f>
        <v/>
      </c>
      <c r="Q1023" s="35" t="str">
        <f t="array" ref="Q1023">IF($R1023&lt;&gt;"",IFERROR(INDEX(ISIN!$B:$B,MATCH($R1023,ISIN!$C:$C,0))),)</f>
        <v/>
      </c>
      <c r="R1023" s="36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5" t="str">
        <f t="shared" si="1"/>
        <v/>
      </c>
      <c r="T1023" s="37" t="str">
        <f t="shared" si="2"/>
        <v/>
      </c>
      <c r="U1023" s="38" t="str">
        <f t="shared" si="3"/>
        <v/>
      </c>
      <c r="V1023" s="32" t="str">
        <f t="shared" si="4"/>
        <v/>
      </c>
      <c r="W1023" s="39" t="str">
        <f>IFERROR(__xludf.DUMMYFUNCTION(" IF(Account!$F1023&lt;&gt;"""", SPLIT(Account!$F1023, "" ""), """")"),"")</f>
        <v/>
      </c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</row>
    <row r="1024">
      <c r="A1024" s="12"/>
      <c r="B1024" s="12"/>
      <c r="C1024" s="12"/>
      <c r="D1024" s="12"/>
      <c r="E1024" s="12"/>
      <c r="F1024" s="13"/>
      <c r="G1024" s="291"/>
      <c r="H1024" s="12"/>
      <c r="I1024" s="12"/>
      <c r="J1024" s="12"/>
      <c r="K1024" s="12"/>
      <c r="L1024" s="13"/>
      <c r="M1024" s="30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2" t="str">
        <f>IFERROR(__xludf.DUMMYFUNCTION("IF(Account!$F1024&lt;&gt;"""", VALUE(REGEXREPLACE($I1024, ""\,"", ""."")), """")"),"")</f>
        <v/>
      </c>
      <c r="O1024" s="33" t="str">
        <f>IF(Account!$F1024&lt;&gt;"", DATEVALUE(MID($A1024,4,3) &amp; LEFT($A1024,3) &amp; RIGHT($A1024,4)) + TIMEVALUE($B1024), "")</f>
        <v/>
      </c>
      <c r="P1024" s="34" t="str">
        <f>IF(Account!$F1024&lt;&gt;"", DATEVALUE(MID($C1024,4,3) &amp; LEFT($C1024,3) &amp; RIGHT($C1024,4)), "")</f>
        <v/>
      </c>
      <c r="Q1024" s="35" t="str">
        <f t="array" ref="Q1024">IF($R1024&lt;&gt;"",IFERROR(INDEX(ISIN!$B:$B,MATCH($R1024,ISIN!$C:$C,0))),)</f>
        <v/>
      </c>
      <c r="R1024" s="36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5" t="str">
        <f t="shared" si="1"/>
        <v/>
      </c>
      <c r="T1024" s="37" t="str">
        <f t="shared" si="2"/>
        <v/>
      </c>
      <c r="U1024" s="38" t="str">
        <f t="shared" si="3"/>
        <v/>
      </c>
      <c r="V1024" s="32" t="str">
        <f t="shared" si="4"/>
        <v/>
      </c>
      <c r="W1024" s="39" t="str">
        <f>IFERROR(__xludf.DUMMYFUNCTION(" IF(Account!$F1024&lt;&gt;"""", SPLIT(Account!$F1024, "" ""), """")"),"")</f>
        <v/>
      </c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</row>
    <row r="1025">
      <c r="A1025" s="12"/>
      <c r="B1025" s="12"/>
      <c r="C1025" s="12"/>
      <c r="D1025" s="12"/>
      <c r="E1025" s="12"/>
      <c r="F1025" s="13"/>
      <c r="G1025" s="12"/>
      <c r="H1025" s="12"/>
      <c r="I1025" s="12"/>
      <c r="J1025" s="12"/>
      <c r="K1025" s="12"/>
      <c r="L1025" s="13"/>
      <c r="M1025" s="30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2" t="str">
        <f>IFERROR(__xludf.DUMMYFUNCTION("IF(Account!$F1025&lt;&gt;"""", VALUE(REGEXREPLACE($I1025, ""\,"", ""."")), """")"),"")</f>
        <v/>
      </c>
      <c r="O1025" s="33" t="str">
        <f>IF(Account!$F1025&lt;&gt;"", DATEVALUE(MID($A1025,4,3) &amp; LEFT($A1025,3) &amp; RIGHT($A1025,4)) + TIMEVALUE($B1025), "")</f>
        <v/>
      </c>
      <c r="P1025" s="34" t="str">
        <f>IF(Account!$F1025&lt;&gt;"", DATEVALUE(MID($C1025,4,3) &amp; LEFT($C1025,3) &amp; RIGHT($C1025,4)), "")</f>
        <v/>
      </c>
      <c r="Q1025" s="35" t="str">
        <f t="array" ref="Q1025">IF($R1025&lt;&gt;"",IFERROR(INDEX(ISIN!$B:$B,MATCH($R1025,ISIN!$C:$C,0))),)</f>
        <v/>
      </c>
      <c r="R1025" s="36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5" t="str">
        <f t="shared" si="1"/>
        <v/>
      </c>
      <c r="T1025" s="37" t="str">
        <f t="shared" si="2"/>
        <v/>
      </c>
      <c r="U1025" s="38" t="str">
        <f t="shared" si="3"/>
        <v/>
      </c>
      <c r="V1025" s="32" t="str">
        <f t="shared" si="4"/>
        <v/>
      </c>
      <c r="W1025" s="39" t="str">
        <f>IFERROR(__xludf.DUMMYFUNCTION(" IF(Account!$F1025&lt;&gt;"""", SPLIT(Account!$F1025, "" ""), """")"),"")</f>
        <v/>
      </c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</row>
    <row r="1026">
      <c r="A1026" s="12"/>
      <c r="B1026" s="12"/>
      <c r="C1026" s="12"/>
      <c r="D1026" s="12"/>
      <c r="E1026" s="12"/>
      <c r="F1026" s="13"/>
      <c r="G1026" s="291"/>
      <c r="H1026" s="12"/>
      <c r="I1026" s="12"/>
      <c r="J1026" s="12"/>
      <c r="K1026" s="12"/>
      <c r="L1026" s="13"/>
      <c r="M1026" s="30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2" t="str">
        <f>IFERROR(__xludf.DUMMYFUNCTION("IF(Account!$F1026&lt;&gt;"""", VALUE(REGEXREPLACE($I1026, ""\,"", ""."")), """")"),"")</f>
        <v/>
      </c>
      <c r="O1026" s="33" t="str">
        <f>IF(Account!$F1026&lt;&gt;"", DATEVALUE(MID($A1026,4,3) &amp; LEFT($A1026,3) &amp; RIGHT($A1026,4)) + TIMEVALUE($B1026), "")</f>
        <v/>
      </c>
      <c r="P1026" s="34" t="str">
        <f>IF(Account!$F1026&lt;&gt;"", DATEVALUE(MID($C1026,4,3) &amp; LEFT($C1026,3) &amp; RIGHT($C1026,4)), "")</f>
        <v/>
      </c>
      <c r="Q1026" s="35" t="str">
        <f t="array" ref="Q1026">IF($R1026&lt;&gt;"",IFERROR(INDEX(ISIN!$B:$B,MATCH($R1026,ISIN!$C:$C,0))),)</f>
        <v/>
      </c>
      <c r="R1026" s="36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5" t="str">
        <f t="shared" si="1"/>
        <v/>
      </c>
      <c r="T1026" s="37" t="str">
        <f t="shared" si="2"/>
        <v/>
      </c>
      <c r="U1026" s="38" t="str">
        <f t="shared" si="3"/>
        <v/>
      </c>
      <c r="V1026" s="32" t="str">
        <f t="shared" si="4"/>
        <v/>
      </c>
      <c r="W1026" s="39" t="str">
        <f>IFERROR(__xludf.DUMMYFUNCTION(" IF(Account!$F1026&lt;&gt;"""", SPLIT(Account!$F1026, "" ""), """")"),"")</f>
        <v/>
      </c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</row>
    <row r="1027">
      <c r="A1027" s="12"/>
      <c r="B1027" s="12"/>
      <c r="C1027" s="12"/>
      <c r="D1027" s="12"/>
      <c r="E1027" s="12"/>
      <c r="F1027" s="13"/>
      <c r="G1027" s="12"/>
      <c r="H1027" s="12"/>
      <c r="I1027" s="12"/>
      <c r="J1027" s="12"/>
      <c r="K1027" s="12"/>
      <c r="L1027" s="13"/>
      <c r="M1027" s="30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2" t="str">
        <f>IFERROR(__xludf.DUMMYFUNCTION("IF(Account!$F1027&lt;&gt;"""", VALUE(REGEXREPLACE($I1027, ""\,"", ""."")), """")"),"")</f>
        <v/>
      </c>
      <c r="O1027" s="33" t="str">
        <f>IF(Account!$F1027&lt;&gt;"", DATEVALUE(MID($A1027,4,3) &amp; LEFT($A1027,3) &amp; RIGHT($A1027,4)) + TIMEVALUE($B1027), "")</f>
        <v/>
      </c>
      <c r="P1027" s="34" t="str">
        <f>IF(Account!$F1027&lt;&gt;"", DATEVALUE(MID($C1027,4,3) &amp; LEFT($C1027,3) &amp; RIGHT($C1027,4)), "")</f>
        <v/>
      </c>
      <c r="Q1027" s="35" t="str">
        <f t="array" ref="Q1027">IF($R1027&lt;&gt;"",IFERROR(INDEX(ISIN!$B:$B,MATCH($R1027,ISIN!$C:$C,0))),)</f>
        <v/>
      </c>
      <c r="R1027" s="36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5" t="str">
        <f t="shared" si="1"/>
        <v/>
      </c>
      <c r="T1027" s="37" t="str">
        <f t="shared" si="2"/>
        <v/>
      </c>
      <c r="U1027" s="38" t="str">
        <f t="shared" si="3"/>
        <v/>
      </c>
      <c r="V1027" s="32" t="str">
        <f t="shared" si="4"/>
        <v/>
      </c>
      <c r="W1027" s="39" t="str">
        <f>IFERROR(__xludf.DUMMYFUNCTION(" IF(Account!$F1027&lt;&gt;"""", SPLIT(Account!$F1027, "" ""), """")"),"")</f>
        <v/>
      </c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</row>
    <row r="1028">
      <c r="A1028" s="12"/>
      <c r="B1028" s="12"/>
      <c r="C1028" s="12"/>
      <c r="D1028" s="12"/>
      <c r="E1028" s="12"/>
      <c r="F1028" s="13"/>
      <c r="G1028" s="291"/>
      <c r="H1028" s="12"/>
      <c r="I1028" s="12"/>
      <c r="J1028" s="12"/>
      <c r="K1028" s="12"/>
      <c r="L1028" s="13"/>
      <c r="M1028" s="30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2" t="str">
        <f>IFERROR(__xludf.DUMMYFUNCTION("IF(Account!$F1028&lt;&gt;"""", VALUE(REGEXREPLACE($I1028, ""\,"", ""."")), """")"),"")</f>
        <v/>
      </c>
      <c r="O1028" s="33" t="str">
        <f>IF(Account!$F1028&lt;&gt;"", DATEVALUE(MID($A1028,4,3) &amp; LEFT($A1028,3) &amp; RIGHT($A1028,4)) + TIMEVALUE($B1028), "")</f>
        <v/>
      </c>
      <c r="P1028" s="34" t="str">
        <f>IF(Account!$F1028&lt;&gt;"", DATEVALUE(MID($C1028,4,3) &amp; LEFT($C1028,3) &amp; RIGHT($C1028,4)), "")</f>
        <v/>
      </c>
      <c r="Q1028" s="35" t="str">
        <f t="array" ref="Q1028">IF($R1028&lt;&gt;"",IFERROR(INDEX(ISIN!$B:$B,MATCH($R1028,ISIN!$C:$C,0))),)</f>
        <v/>
      </c>
      <c r="R1028" s="36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5" t="str">
        <f t="shared" si="1"/>
        <v/>
      </c>
      <c r="T1028" s="37" t="str">
        <f t="shared" si="2"/>
        <v/>
      </c>
      <c r="U1028" s="38" t="str">
        <f t="shared" si="3"/>
        <v/>
      </c>
      <c r="V1028" s="32" t="str">
        <f t="shared" si="4"/>
        <v/>
      </c>
      <c r="W1028" s="39" t="str">
        <f>IFERROR(__xludf.DUMMYFUNCTION(" IF(Account!$F1028&lt;&gt;"""", SPLIT(Account!$F1028, "" ""), """")"),"")</f>
        <v/>
      </c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</row>
    <row r="1029">
      <c r="A1029" s="12"/>
      <c r="B1029" s="12"/>
      <c r="C1029" s="12"/>
      <c r="D1029" s="12"/>
      <c r="E1029" s="12"/>
      <c r="F1029" s="13"/>
      <c r="G1029" s="12"/>
      <c r="H1029" s="12"/>
      <c r="I1029" s="12"/>
      <c r="J1029" s="12"/>
      <c r="K1029" s="12"/>
      <c r="L1029" s="13"/>
      <c r="M1029" s="30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2" t="str">
        <f>IFERROR(__xludf.DUMMYFUNCTION("IF(Account!$F1029&lt;&gt;"""", VALUE(REGEXREPLACE($I1029, ""\,"", ""."")), """")"),"")</f>
        <v/>
      </c>
      <c r="O1029" s="33" t="str">
        <f>IF(Account!$F1029&lt;&gt;"", DATEVALUE(MID($A1029,4,3) &amp; LEFT($A1029,3) &amp; RIGHT($A1029,4)) + TIMEVALUE($B1029), "")</f>
        <v/>
      </c>
      <c r="P1029" s="34" t="str">
        <f>IF(Account!$F1029&lt;&gt;"", DATEVALUE(MID($C1029,4,3) &amp; LEFT($C1029,3) &amp; RIGHT($C1029,4)), "")</f>
        <v/>
      </c>
      <c r="Q1029" s="35" t="str">
        <f t="array" ref="Q1029">IF($R1029&lt;&gt;"",IFERROR(INDEX(ISIN!$B:$B,MATCH($R1029,ISIN!$C:$C,0))),)</f>
        <v/>
      </c>
      <c r="R1029" s="36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5" t="str">
        <f t="shared" si="1"/>
        <v/>
      </c>
      <c r="T1029" s="37" t="str">
        <f t="shared" si="2"/>
        <v/>
      </c>
      <c r="U1029" s="38" t="str">
        <f t="shared" si="3"/>
        <v/>
      </c>
      <c r="V1029" s="32" t="str">
        <f t="shared" si="4"/>
        <v/>
      </c>
      <c r="W1029" s="39" t="str">
        <f>IFERROR(__xludf.DUMMYFUNCTION(" IF(Account!$F1029&lt;&gt;"""", SPLIT(Account!$F1029, "" ""), """")"),"")</f>
        <v/>
      </c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</row>
    <row r="1030">
      <c r="A1030" s="12"/>
      <c r="B1030" s="12"/>
      <c r="C1030" s="12"/>
      <c r="D1030" s="12"/>
      <c r="E1030" s="12"/>
      <c r="F1030" s="13"/>
      <c r="G1030" s="291"/>
      <c r="H1030" s="12"/>
      <c r="I1030" s="12"/>
      <c r="J1030" s="12"/>
      <c r="K1030" s="12"/>
      <c r="L1030" s="13"/>
      <c r="M1030" s="30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2" t="str">
        <f>IFERROR(__xludf.DUMMYFUNCTION("IF(Account!$F1030&lt;&gt;"""", VALUE(REGEXREPLACE($I1030, ""\,"", ""."")), """")"),"")</f>
        <v/>
      </c>
      <c r="O1030" s="33" t="str">
        <f>IF(Account!$F1030&lt;&gt;"", DATEVALUE(MID($A1030,4,3) &amp; LEFT($A1030,3) &amp; RIGHT($A1030,4)) + TIMEVALUE($B1030), "")</f>
        <v/>
      </c>
      <c r="P1030" s="34" t="str">
        <f>IF(Account!$F1030&lt;&gt;"", DATEVALUE(MID($C1030,4,3) &amp; LEFT($C1030,3) &amp; RIGHT($C1030,4)), "")</f>
        <v/>
      </c>
      <c r="Q1030" s="35" t="str">
        <f t="array" ref="Q1030">IF($R1030&lt;&gt;"",IFERROR(INDEX(ISIN!$B:$B,MATCH($R1030,ISIN!$C:$C,0))),)</f>
        <v/>
      </c>
      <c r="R1030" s="36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5" t="str">
        <f t="shared" si="1"/>
        <v/>
      </c>
      <c r="T1030" s="37" t="str">
        <f t="shared" si="2"/>
        <v/>
      </c>
      <c r="U1030" s="38" t="str">
        <f t="shared" si="3"/>
        <v/>
      </c>
      <c r="V1030" s="32" t="str">
        <f t="shared" si="4"/>
        <v/>
      </c>
      <c r="W1030" s="39" t="str">
        <f>IFERROR(__xludf.DUMMYFUNCTION(" IF(Account!$F1030&lt;&gt;"""", SPLIT(Account!$F1030, "" ""), """")"),"")</f>
        <v/>
      </c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</row>
    <row r="1031">
      <c r="A1031" s="12"/>
      <c r="B1031" s="12"/>
      <c r="C1031" s="12"/>
      <c r="D1031" s="12"/>
      <c r="E1031" s="12"/>
      <c r="F1031" s="13"/>
      <c r="G1031" s="12"/>
      <c r="H1031" s="12"/>
      <c r="I1031" s="12"/>
      <c r="J1031" s="12"/>
      <c r="K1031" s="12"/>
      <c r="L1031" s="13"/>
      <c r="M1031" s="30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2" t="str">
        <f>IFERROR(__xludf.DUMMYFUNCTION("IF(Account!$F1031&lt;&gt;"""", VALUE(REGEXREPLACE($I1031, ""\,"", ""."")), """")"),"")</f>
        <v/>
      </c>
      <c r="O1031" s="33" t="str">
        <f>IF(Account!$F1031&lt;&gt;"", DATEVALUE(MID($A1031,4,3) &amp; LEFT($A1031,3) &amp; RIGHT($A1031,4)) + TIMEVALUE($B1031), "")</f>
        <v/>
      </c>
      <c r="P1031" s="34" t="str">
        <f>IF(Account!$F1031&lt;&gt;"", DATEVALUE(MID($C1031,4,3) &amp; LEFT($C1031,3) &amp; RIGHT($C1031,4)), "")</f>
        <v/>
      </c>
      <c r="Q1031" s="35" t="str">
        <f t="array" ref="Q1031">IF($R1031&lt;&gt;"",IFERROR(INDEX(ISIN!$B:$B,MATCH($R1031,ISIN!$C:$C,0))),)</f>
        <v/>
      </c>
      <c r="R1031" s="36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5" t="str">
        <f t="shared" si="1"/>
        <v/>
      </c>
      <c r="T1031" s="37" t="str">
        <f t="shared" si="2"/>
        <v/>
      </c>
      <c r="U1031" s="38" t="str">
        <f t="shared" si="3"/>
        <v/>
      </c>
      <c r="V1031" s="32" t="str">
        <f t="shared" si="4"/>
        <v/>
      </c>
      <c r="W1031" s="39" t="str">
        <f>IFERROR(__xludf.DUMMYFUNCTION(" IF(Account!$F1031&lt;&gt;"""", SPLIT(Account!$F1031, "" ""), """")"),"")</f>
        <v/>
      </c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</row>
    <row r="1032">
      <c r="A1032" s="12"/>
      <c r="B1032" s="12"/>
      <c r="C1032" s="12"/>
      <c r="D1032" s="12"/>
      <c r="E1032" s="12"/>
      <c r="F1032" s="13"/>
      <c r="G1032" s="291"/>
      <c r="H1032" s="12"/>
      <c r="I1032" s="12"/>
      <c r="J1032" s="12"/>
      <c r="K1032" s="12"/>
      <c r="L1032" s="13"/>
      <c r="M1032" s="30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2" t="str">
        <f>IFERROR(__xludf.DUMMYFUNCTION("IF(Account!$F1032&lt;&gt;"""", VALUE(REGEXREPLACE($I1032, ""\,"", ""."")), """")"),"")</f>
        <v/>
      </c>
      <c r="O1032" s="33" t="str">
        <f>IF(Account!$F1032&lt;&gt;"", DATEVALUE(MID($A1032,4,3) &amp; LEFT($A1032,3) &amp; RIGHT($A1032,4)) + TIMEVALUE($B1032), "")</f>
        <v/>
      </c>
      <c r="P1032" s="34" t="str">
        <f>IF(Account!$F1032&lt;&gt;"", DATEVALUE(MID($C1032,4,3) &amp; LEFT($C1032,3) &amp; RIGHT($C1032,4)), "")</f>
        <v/>
      </c>
      <c r="Q1032" s="35" t="str">
        <f t="array" ref="Q1032">IF($R1032&lt;&gt;"",IFERROR(INDEX(ISIN!$B:$B,MATCH($R1032,ISIN!$C:$C,0))),)</f>
        <v/>
      </c>
      <c r="R1032" s="36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5" t="str">
        <f t="shared" si="1"/>
        <v/>
      </c>
      <c r="T1032" s="37" t="str">
        <f t="shared" si="2"/>
        <v/>
      </c>
      <c r="U1032" s="38" t="str">
        <f t="shared" si="3"/>
        <v/>
      </c>
      <c r="V1032" s="32" t="str">
        <f t="shared" si="4"/>
        <v/>
      </c>
      <c r="W1032" s="39" t="str">
        <f>IFERROR(__xludf.DUMMYFUNCTION(" IF(Account!$F1032&lt;&gt;"""", SPLIT(Account!$F1032, "" ""), """")"),"")</f>
        <v/>
      </c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</row>
    <row r="1033">
      <c r="A1033" s="12"/>
      <c r="B1033" s="12"/>
      <c r="C1033" s="12"/>
      <c r="D1033" s="12"/>
      <c r="E1033" s="12"/>
      <c r="F1033" s="13"/>
      <c r="G1033" s="291"/>
      <c r="H1033" s="12"/>
      <c r="I1033" s="12"/>
      <c r="J1033" s="12"/>
      <c r="K1033" s="12"/>
      <c r="L1033" s="13"/>
      <c r="M1033" s="30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2" t="str">
        <f>IFERROR(__xludf.DUMMYFUNCTION("IF(Account!$F1033&lt;&gt;"""", VALUE(REGEXREPLACE($I1033, ""\,"", ""."")), """")"),"")</f>
        <v/>
      </c>
      <c r="O1033" s="33" t="str">
        <f>IF(Account!$F1033&lt;&gt;"", DATEVALUE(MID($A1033,4,3) &amp; LEFT($A1033,3) &amp; RIGHT($A1033,4)) + TIMEVALUE($B1033), "")</f>
        <v/>
      </c>
      <c r="P1033" s="34" t="str">
        <f>IF(Account!$F1033&lt;&gt;"", DATEVALUE(MID($C1033,4,3) &amp; LEFT($C1033,3) &amp; RIGHT($C1033,4)), "")</f>
        <v/>
      </c>
      <c r="Q1033" s="35" t="str">
        <f t="array" ref="Q1033">IF($R1033&lt;&gt;"",IFERROR(INDEX(ISIN!$B:$B,MATCH($R1033,ISIN!$C:$C,0))),)</f>
        <v/>
      </c>
      <c r="R1033" s="36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5" t="str">
        <f t="shared" si="1"/>
        <v/>
      </c>
      <c r="T1033" s="37" t="str">
        <f t="shared" si="2"/>
        <v/>
      </c>
      <c r="U1033" s="38" t="str">
        <f t="shared" si="3"/>
        <v/>
      </c>
      <c r="V1033" s="32" t="str">
        <f t="shared" si="4"/>
        <v/>
      </c>
      <c r="W1033" s="39" t="str">
        <f>IFERROR(__xludf.DUMMYFUNCTION(" IF(Account!$F1033&lt;&gt;"""", SPLIT(Account!$F1033, "" ""), """")"),"")</f>
        <v/>
      </c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</row>
    <row r="1034">
      <c r="A1034" s="12"/>
      <c r="B1034" s="12"/>
      <c r="C1034" s="12"/>
      <c r="D1034" s="12"/>
      <c r="E1034" s="12"/>
      <c r="F1034" s="13"/>
      <c r="G1034" s="291"/>
      <c r="H1034" s="12"/>
      <c r="I1034" s="12"/>
      <c r="J1034" s="12"/>
      <c r="K1034" s="12"/>
      <c r="L1034" s="13"/>
      <c r="M1034" s="30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2" t="str">
        <f>IFERROR(__xludf.DUMMYFUNCTION("IF(Account!$F1034&lt;&gt;"""", VALUE(REGEXREPLACE($I1034, ""\,"", ""."")), """")"),"")</f>
        <v/>
      </c>
      <c r="O1034" s="33" t="str">
        <f>IF(Account!$F1034&lt;&gt;"", DATEVALUE(MID($A1034,4,3) &amp; LEFT($A1034,3) &amp; RIGHT($A1034,4)) + TIMEVALUE($B1034), "")</f>
        <v/>
      </c>
      <c r="P1034" s="34" t="str">
        <f>IF(Account!$F1034&lt;&gt;"", DATEVALUE(MID($C1034,4,3) &amp; LEFT($C1034,3) &amp; RIGHT($C1034,4)), "")</f>
        <v/>
      </c>
      <c r="Q1034" s="35" t="str">
        <f t="array" ref="Q1034">IF($R1034&lt;&gt;"",IFERROR(INDEX(ISIN!$B:$B,MATCH($R1034,ISIN!$C:$C,0))),)</f>
        <v/>
      </c>
      <c r="R1034" s="36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5" t="str">
        <f t="shared" si="1"/>
        <v/>
      </c>
      <c r="T1034" s="37" t="str">
        <f t="shared" si="2"/>
        <v/>
      </c>
      <c r="U1034" s="38" t="str">
        <f t="shared" si="3"/>
        <v/>
      </c>
      <c r="V1034" s="32" t="str">
        <f t="shared" si="4"/>
        <v/>
      </c>
      <c r="W1034" s="39" t="str">
        <f>IFERROR(__xludf.DUMMYFUNCTION(" IF(Account!$F1034&lt;&gt;"""", SPLIT(Account!$F1034, "" ""), """")"),"")</f>
        <v/>
      </c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</row>
    <row r="1035">
      <c r="A1035" s="12"/>
      <c r="B1035" s="12"/>
      <c r="C1035" s="12"/>
      <c r="D1035" s="12"/>
      <c r="E1035" s="12"/>
      <c r="F1035" s="13"/>
      <c r="G1035" s="291"/>
      <c r="H1035" s="12"/>
      <c r="I1035" s="12"/>
      <c r="J1035" s="12"/>
      <c r="K1035" s="12"/>
      <c r="L1035" s="13"/>
      <c r="M1035" s="30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2" t="str">
        <f>IFERROR(__xludf.DUMMYFUNCTION("IF(Account!$F1035&lt;&gt;"""", VALUE(REGEXREPLACE($I1035, ""\,"", ""."")), """")"),"")</f>
        <v/>
      </c>
      <c r="O1035" s="33" t="str">
        <f>IF(Account!$F1035&lt;&gt;"", DATEVALUE(MID($A1035,4,3) &amp; LEFT($A1035,3) &amp; RIGHT($A1035,4)) + TIMEVALUE($B1035), "")</f>
        <v/>
      </c>
      <c r="P1035" s="34" t="str">
        <f>IF(Account!$F1035&lt;&gt;"", DATEVALUE(MID($C1035,4,3) &amp; LEFT($C1035,3) &amp; RIGHT($C1035,4)), "")</f>
        <v/>
      </c>
      <c r="Q1035" s="35" t="str">
        <f t="array" ref="Q1035">IF($R1035&lt;&gt;"",IFERROR(INDEX(ISIN!$B:$B,MATCH($R1035,ISIN!$C:$C,0))),)</f>
        <v/>
      </c>
      <c r="R1035" s="36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5" t="str">
        <f t="shared" si="1"/>
        <v/>
      </c>
      <c r="T1035" s="37" t="str">
        <f t="shared" si="2"/>
        <v/>
      </c>
      <c r="U1035" s="38" t="str">
        <f t="shared" si="3"/>
        <v/>
      </c>
      <c r="V1035" s="32" t="str">
        <f t="shared" si="4"/>
        <v/>
      </c>
      <c r="W1035" s="39" t="str">
        <f>IFERROR(__xludf.DUMMYFUNCTION(" IF(Account!$F1035&lt;&gt;"""", SPLIT(Account!$F1035, "" ""), """")"),"")</f>
        <v/>
      </c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</row>
    <row r="1036">
      <c r="A1036" s="12"/>
      <c r="B1036" s="12"/>
      <c r="C1036" s="12"/>
      <c r="D1036" s="12"/>
      <c r="E1036" s="12"/>
      <c r="F1036" s="13"/>
      <c r="G1036" s="291"/>
      <c r="H1036" s="12"/>
      <c r="I1036" s="12"/>
      <c r="J1036" s="12"/>
      <c r="K1036" s="12"/>
      <c r="L1036" s="13"/>
      <c r="M1036" s="30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2" t="str">
        <f>IFERROR(__xludf.DUMMYFUNCTION("IF(Account!$F1036&lt;&gt;"""", VALUE(REGEXREPLACE($I1036, ""\,"", ""."")), """")"),"")</f>
        <v/>
      </c>
      <c r="O1036" s="33" t="str">
        <f>IF(Account!$F1036&lt;&gt;"", DATEVALUE(MID($A1036,4,3) &amp; LEFT($A1036,3) &amp; RIGHT($A1036,4)) + TIMEVALUE($B1036), "")</f>
        <v/>
      </c>
      <c r="P1036" s="34" t="str">
        <f>IF(Account!$F1036&lt;&gt;"", DATEVALUE(MID($C1036,4,3) &amp; LEFT($C1036,3) &amp; RIGHT($C1036,4)), "")</f>
        <v/>
      </c>
      <c r="Q1036" s="35" t="str">
        <f t="array" ref="Q1036">IF($R1036&lt;&gt;"",IFERROR(INDEX(ISIN!$B:$B,MATCH($R1036,ISIN!$C:$C,0))),)</f>
        <v/>
      </c>
      <c r="R1036" s="36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5" t="str">
        <f t="shared" si="1"/>
        <v/>
      </c>
      <c r="T1036" s="37" t="str">
        <f t="shared" si="2"/>
        <v/>
      </c>
      <c r="U1036" s="38" t="str">
        <f t="shared" si="3"/>
        <v/>
      </c>
      <c r="V1036" s="32" t="str">
        <f t="shared" si="4"/>
        <v/>
      </c>
      <c r="W1036" s="39" t="str">
        <f>IFERROR(__xludf.DUMMYFUNCTION(" IF(Account!$F1036&lt;&gt;"""", SPLIT(Account!$F1036, "" ""), """")"),"")</f>
        <v/>
      </c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</row>
    <row r="1037">
      <c r="A1037" s="12"/>
      <c r="B1037" s="12"/>
      <c r="C1037" s="12"/>
      <c r="D1037" s="12"/>
      <c r="E1037" s="12"/>
      <c r="F1037" s="13"/>
      <c r="G1037" s="291"/>
      <c r="H1037" s="12"/>
      <c r="I1037" s="12"/>
      <c r="J1037" s="12"/>
      <c r="K1037" s="12"/>
      <c r="L1037" s="13"/>
      <c r="M1037" s="30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2" t="str">
        <f>IFERROR(__xludf.DUMMYFUNCTION("IF(Account!$F1037&lt;&gt;"""", VALUE(REGEXREPLACE($I1037, ""\,"", ""."")), """")"),"")</f>
        <v/>
      </c>
      <c r="O1037" s="33" t="str">
        <f>IF(Account!$F1037&lt;&gt;"", DATEVALUE(MID($A1037,4,3) &amp; LEFT($A1037,3) &amp; RIGHT($A1037,4)) + TIMEVALUE($B1037), "")</f>
        <v/>
      </c>
      <c r="P1037" s="34" t="str">
        <f>IF(Account!$F1037&lt;&gt;"", DATEVALUE(MID($C1037,4,3) &amp; LEFT($C1037,3) &amp; RIGHT($C1037,4)), "")</f>
        <v/>
      </c>
      <c r="Q1037" s="35" t="str">
        <f t="array" ref="Q1037">IF($R1037&lt;&gt;"",IFERROR(INDEX(ISIN!$B:$B,MATCH($R1037,ISIN!$C:$C,0))),)</f>
        <v/>
      </c>
      <c r="R1037" s="36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5" t="str">
        <f t="shared" si="1"/>
        <v/>
      </c>
      <c r="T1037" s="37" t="str">
        <f t="shared" si="2"/>
        <v/>
      </c>
      <c r="U1037" s="38" t="str">
        <f t="shared" si="3"/>
        <v/>
      </c>
      <c r="V1037" s="32" t="str">
        <f t="shared" si="4"/>
        <v/>
      </c>
      <c r="W1037" s="39" t="str">
        <f>IFERROR(__xludf.DUMMYFUNCTION(" IF(Account!$F1037&lt;&gt;"""", SPLIT(Account!$F1037, "" ""), """")"),"")</f>
        <v/>
      </c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</row>
    <row r="1038">
      <c r="A1038" s="12"/>
      <c r="B1038" s="12"/>
      <c r="C1038" s="12"/>
      <c r="D1038" s="12"/>
      <c r="E1038" s="12"/>
      <c r="F1038" s="13"/>
      <c r="G1038" s="291"/>
      <c r="H1038" s="12"/>
      <c r="I1038" s="12"/>
      <c r="J1038" s="12"/>
      <c r="K1038" s="12"/>
      <c r="L1038" s="13"/>
      <c r="M1038" s="30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2" t="str">
        <f>IFERROR(__xludf.DUMMYFUNCTION("IF(Account!$F1038&lt;&gt;"""", VALUE(REGEXREPLACE($I1038, ""\,"", ""."")), """")"),"")</f>
        <v/>
      </c>
      <c r="O1038" s="33" t="str">
        <f>IF(Account!$F1038&lt;&gt;"", DATEVALUE(MID($A1038,4,3) &amp; LEFT($A1038,3) &amp; RIGHT($A1038,4)) + TIMEVALUE($B1038), "")</f>
        <v/>
      </c>
      <c r="P1038" s="34" t="str">
        <f>IF(Account!$F1038&lt;&gt;"", DATEVALUE(MID($C1038,4,3) &amp; LEFT($C1038,3) &amp; RIGHT($C1038,4)), "")</f>
        <v/>
      </c>
      <c r="Q1038" s="35" t="str">
        <f t="array" ref="Q1038">IF($R1038&lt;&gt;"",IFERROR(INDEX(ISIN!$B:$B,MATCH($R1038,ISIN!$C:$C,0))),)</f>
        <v/>
      </c>
      <c r="R1038" s="36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5" t="str">
        <f t="shared" si="1"/>
        <v/>
      </c>
      <c r="T1038" s="37" t="str">
        <f t="shared" si="2"/>
        <v/>
      </c>
      <c r="U1038" s="38" t="str">
        <f t="shared" si="3"/>
        <v/>
      </c>
      <c r="V1038" s="32" t="str">
        <f t="shared" si="4"/>
        <v/>
      </c>
      <c r="W1038" s="39" t="str">
        <f>IFERROR(__xludf.DUMMYFUNCTION(" IF(Account!$F1038&lt;&gt;"""", SPLIT(Account!$F1038, "" ""), """")"),"")</f>
        <v/>
      </c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</row>
    <row r="1039">
      <c r="A1039" s="12"/>
      <c r="B1039" s="12"/>
      <c r="C1039" s="12"/>
      <c r="D1039" s="12"/>
      <c r="E1039" s="12"/>
      <c r="F1039" s="13"/>
      <c r="G1039" s="291"/>
      <c r="H1039" s="12"/>
      <c r="I1039" s="12"/>
      <c r="J1039" s="12"/>
      <c r="K1039" s="12"/>
      <c r="L1039" s="13"/>
      <c r="M1039" s="30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2" t="str">
        <f>IFERROR(__xludf.DUMMYFUNCTION("IF(Account!$F1039&lt;&gt;"""", VALUE(REGEXREPLACE($I1039, ""\,"", ""."")), """")"),"")</f>
        <v/>
      </c>
      <c r="O1039" s="33" t="str">
        <f>IF(Account!$F1039&lt;&gt;"", DATEVALUE(MID($A1039,4,3) &amp; LEFT($A1039,3) &amp; RIGHT($A1039,4)) + TIMEVALUE($B1039), "")</f>
        <v/>
      </c>
      <c r="P1039" s="34" t="str">
        <f>IF(Account!$F1039&lt;&gt;"", DATEVALUE(MID($C1039,4,3) &amp; LEFT($C1039,3) &amp; RIGHT($C1039,4)), "")</f>
        <v/>
      </c>
      <c r="Q1039" s="35" t="str">
        <f t="array" ref="Q1039">IF($R1039&lt;&gt;"",IFERROR(INDEX(ISIN!$B:$B,MATCH($R1039,ISIN!$C:$C,0))),)</f>
        <v/>
      </c>
      <c r="R1039" s="36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5" t="str">
        <f t="shared" si="1"/>
        <v/>
      </c>
      <c r="T1039" s="37" t="str">
        <f t="shared" si="2"/>
        <v/>
      </c>
      <c r="U1039" s="38" t="str">
        <f t="shared" si="3"/>
        <v/>
      </c>
      <c r="V1039" s="32" t="str">
        <f t="shared" si="4"/>
        <v/>
      </c>
      <c r="W1039" s="39" t="str">
        <f>IFERROR(__xludf.DUMMYFUNCTION(" IF(Account!$F1039&lt;&gt;"""", SPLIT(Account!$F1039, "" ""), """")"),"")</f>
        <v/>
      </c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</row>
    <row r="1040">
      <c r="A1040" s="12"/>
      <c r="B1040" s="12"/>
      <c r="C1040" s="12"/>
      <c r="D1040" s="12"/>
      <c r="E1040" s="12"/>
      <c r="F1040" s="13"/>
      <c r="G1040" s="291"/>
      <c r="H1040" s="12"/>
      <c r="I1040" s="12"/>
      <c r="J1040" s="12"/>
      <c r="K1040" s="12"/>
      <c r="L1040" s="13"/>
      <c r="M1040" s="30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2" t="str">
        <f>IFERROR(__xludf.DUMMYFUNCTION("IF(Account!$F1040&lt;&gt;"""", VALUE(REGEXREPLACE($I1040, ""\,"", ""."")), """")"),"")</f>
        <v/>
      </c>
      <c r="O1040" s="33" t="str">
        <f>IF(Account!$F1040&lt;&gt;"", DATEVALUE(MID($A1040,4,3) &amp; LEFT($A1040,3) &amp; RIGHT($A1040,4)) + TIMEVALUE($B1040), "")</f>
        <v/>
      </c>
      <c r="P1040" s="34" t="str">
        <f>IF(Account!$F1040&lt;&gt;"", DATEVALUE(MID($C1040,4,3) &amp; LEFT($C1040,3) &amp; RIGHT($C1040,4)), "")</f>
        <v/>
      </c>
      <c r="Q1040" s="35" t="str">
        <f t="array" ref="Q1040">IF($R1040&lt;&gt;"",IFERROR(INDEX(ISIN!$B:$B,MATCH($R1040,ISIN!$C:$C,0))),)</f>
        <v/>
      </c>
      <c r="R1040" s="36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5" t="str">
        <f t="shared" si="1"/>
        <v/>
      </c>
      <c r="T1040" s="37" t="str">
        <f t="shared" si="2"/>
        <v/>
      </c>
      <c r="U1040" s="38" t="str">
        <f t="shared" si="3"/>
        <v/>
      </c>
      <c r="V1040" s="32" t="str">
        <f t="shared" si="4"/>
        <v/>
      </c>
      <c r="W1040" s="39" t="str">
        <f>IFERROR(__xludf.DUMMYFUNCTION(" IF(Account!$F1040&lt;&gt;"""", SPLIT(Account!$F1040, "" ""), """")"),"")</f>
        <v/>
      </c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</row>
    <row r="1041">
      <c r="A1041" s="12"/>
      <c r="B1041" s="12"/>
      <c r="C1041" s="12"/>
      <c r="D1041" s="12"/>
      <c r="E1041" s="12"/>
      <c r="F1041" s="13"/>
      <c r="G1041" s="12"/>
      <c r="H1041" s="12"/>
      <c r="I1041" s="12"/>
      <c r="J1041" s="12"/>
      <c r="K1041" s="12"/>
      <c r="L1041" s="13"/>
      <c r="M1041" s="30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2" t="str">
        <f>IFERROR(__xludf.DUMMYFUNCTION("IF(Account!$F1041&lt;&gt;"""", VALUE(REGEXREPLACE($I1041, ""\,"", ""."")), """")"),"")</f>
        <v/>
      </c>
      <c r="O1041" s="33" t="str">
        <f>IF(Account!$F1041&lt;&gt;"", DATEVALUE(MID($A1041,4,3) &amp; LEFT($A1041,3) &amp; RIGHT($A1041,4)) + TIMEVALUE($B1041), "")</f>
        <v/>
      </c>
      <c r="P1041" s="34" t="str">
        <f>IF(Account!$F1041&lt;&gt;"", DATEVALUE(MID($C1041,4,3) &amp; LEFT($C1041,3) &amp; RIGHT($C1041,4)), "")</f>
        <v/>
      </c>
      <c r="Q1041" s="35" t="str">
        <f t="array" ref="Q1041">IF($R1041&lt;&gt;"",IFERROR(INDEX(ISIN!$B:$B,MATCH($R1041,ISIN!$C:$C,0))),)</f>
        <v/>
      </c>
      <c r="R1041" s="36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5" t="str">
        <f t="shared" si="1"/>
        <v/>
      </c>
      <c r="T1041" s="37" t="str">
        <f t="shared" si="2"/>
        <v/>
      </c>
      <c r="U1041" s="38" t="str">
        <f t="shared" si="3"/>
        <v/>
      </c>
      <c r="V1041" s="32" t="str">
        <f t="shared" si="4"/>
        <v/>
      </c>
      <c r="W1041" s="39" t="str">
        <f>IFERROR(__xludf.DUMMYFUNCTION(" IF(Account!$F1041&lt;&gt;"""", SPLIT(Account!$F1041, "" ""), """")"),"")</f>
        <v/>
      </c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</row>
    <row r="1042">
      <c r="A1042" s="12"/>
      <c r="B1042" s="12"/>
      <c r="C1042" s="12"/>
      <c r="D1042" s="12"/>
      <c r="E1042" s="12"/>
      <c r="F1042" s="13"/>
      <c r="G1042" s="291"/>
      <c r="H1042" s="12"/>
      <c r="I1042" s="12"/>
      <c r="J1042" s="12"/>
      <c r="K1042" s="12"/>
      <c r="L1042" s="13"/>
      <c r="M1042" s="30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2" t="str">
        <f>IFERROR(__xludf.DUMMYFUNCTION("IF(Account!$F1042&lt;&gt;"""", VALUE(REGEXREPLACE($I1042, ""\,"", ""."")), """")"),"")</f>
        <v/>
      </c>
      <c r="O1042" s="33" t="str">
        <f>IF(Account!$F1042&lt;&gt;"", DATEVALUE(MID($A1042,4,3) &amp; LEFT($A1042,3) &amp; RIGHT($A1042,4)) + TIMEVALUE($B1042), "")</f>
        <v/>
      </c>
      <c r="P1042" s="34" t="str">
        <f>IF(Account!$F1042&lt;&gt;"", DATEVALUE(MID($C1042,4,3) &amp; LEFT($C1042,3) &amp; RIGHT($C1042,4)), "")</f>
        <v/>
      </c>
      <c r="Q1042" s="35" t="str">
        <f t="array" ref="Q1042">IF($R1042&lt;&gt;"",IFERROR(INDEX(ISIN!$B:$B,MATCH($R1042,ISIN!$C:$C,0))),)</f>
        <v/>
      </c>
      <c r="R1042" s="36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5" t="str">
        <f t="shared" si="1"/>
        <v/>
      </c>
      <c r="T1042" s="37" t="str">
        <f t="shared" si="2"/>
        <v/>
      </c>
      <c r="U1042" s="38" t="str">
        <f t="shared" si="3"/>
        <v/>
      </c>
      <c r="V1042" s="32" t="str">
        <f t="shared" si="4"/>
        <v/>
      </c>
      <c r="W1042" s="39" t="str">
        <f>IFERROR(__xludf.DUMMYFUNCTION(" IF(Account!$F1042&lt;&gt;"""", SPLIT(Account!$F1042, "" ""), """")"),"")</f>
        <v/>
      </c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</row>
    <row r="1043">
      <c r="A1043" s="12"/>
      <c r="B1043" s="12"/>
      <c r="C1043" s="12"/>
      <c r="D1043" s="12"/>
      <c r="E1043" s="12"/>
      <c r="F1043" s="13"/>
      <c r="G1043" s="12"/>
      <c r="H1043" s="12"/>
      <c r="I1043" s="12"/>
      <c r="J1043" s="12"/>
      <c r="K1043" s="12"/>
      <c r="L1043" s="13"/>
      <c r="M1043" s="30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2" t="str">
        <f>IFERROR(__xludf.DUMMYFUNCTION("IF(Account!$F1043&lt;&gt;"""", VALUE(REGEXREPLACE($I1043, ""\,"", ""."")), """")"),"")</f>
        <v/>
      </c>
      <c r="O1043" s="33" t="str">
        <f>IF(Account!$F1043&lt;&gt;"", DATEVALUE(MID($A1043,4,3) &amp; LEFT($A1043,3) &amp; RIGHT($A1043,4)) + TIMEVALUE($B1043), "")</f>
        <v/>
      </c>
      <c r="P1043" s="34" t="str">
        <f>IF(Account!$F1043&lt;&gt;"", DATEVALUE(MID($C1043,4,3) &amp; LEFT($C1043,3) &amp; RIGHT($C1043,4)), "")</f>
        <v/>
      </c>
      <c r="Q1043" s="35" t="str">
        <f t="array" ref="Q1043">IF($R1043&lt;&gt;"",IFERROR(INDEX(ISIN!$B:$B,MATCH($R1043,ISIN!$C:$C,0))),)</f>
        <v/>
      </c>
      <c r="R1043" s="36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5" t="str">
        <f t="shared" si="1"/>
        <v/>
      </c>
      <c r="T1043" s="37" t="str">
        <f t="shared" si="2"/>
        <v/>
      </c>
      <c r="U1043" s="38" t="str">
        <f t="shared" si="3"/>
        <v/>
      </c>
      <c r="V1043" s="32" t="str">
        <f t="shared" si="4"/>
        <v/>
      </c>
      <c r="W1043" s="39" t="str">
        <f>IFERROR(__xludf.DUMMYFUNCTION(" IF(Account!$F1043&lt;&gt;"""", SPLIT(Account!$F1043, "" ""), """")"),"")</f>
        <v/>
      </c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</row>
    <row r="1044">
      <c r="A1044" s="12"/>
      <c r="B1044" s="12"/>
      <c r="C1044" s="12"/>
      <c r="D1044" s="12"/>
      <c r="E1044" s="12"/>
      <c r="F1044" s="13"/>
      <c r="G1044" s="291"/>
      <c r="H1044" s="12"/>
      <c r="I1044" s="12"/>
      <c r="J1044" s="12"/>
      <c r="K1044" s="12"/>
      <c r="L1044" s="13"/>
      <c r="M1044" s="30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2" t="str">
        <f>IFERROR(__xludf.DUMMYFUNCTION("IF(Account!$F1044&lt;&gt;"""", VALUE(REGEXREPLACE($I1044, ""\,"", ""."")), """")"),"")</f>
        <v/>
      </c>
      <c r="O1044" s="33" t="str">
        <f>IF(Account!$F1044&lt;&gt;"", DATEVALUE(MID($A1044,4,3) &amp; LEFT($A1044,3) &amp; RIGHT($A1044,4)) + TIMEVALUE($B1044), "")</f>
        <v/>
      </c>
      <c r="P1044" s="34" t="str">
        <f>IF(Account!$F1044&lt;&gt;"", DATEVALUE(MID($C1044,4,3) &amp; LEFT($C1044,3) &amp; RIGHT($C1044,4)), "")</f>
        <v/>
      </c>
      <c r="Q1044" s="35" t="str">
        <f t="array" ref="Q1044">IF($R1044&lt;&gt;"",IFERROR(INDEX(ISIN!$B:$B,MATCH($R1044,ISIN!$C:$C,0))),)</f>
        <v/>
      </c>
      <c r="R1044" s="36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5" t="str">
        <f t="shared" si="1"/>
        <v/>
      </c>
      <c r="T1044" s="37" t="str">
        <f t="shared" si="2"/>
        <v/>
      </c>
      <c r="U1044" s="38" t="str">
        <f t="shared" si="3"/>
        <v/>
      </c>
      <c r="V1044" s="32" t="str">
        <f t="shared" si="4"/>
        <v/>
      </c>
      <c r="W1044" s="39" t="str">
        <f>IFERROR(__xludf.DUMMYFUNCTION(" IF(Account!$F1044&lt;&gt;"""", SPLIT(Account!$F1044, "" ""), """")"),"")</f>
        <v/>
      </c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</row>
    <row r="1045">
      <c r="A1045" s="12"/>
      <c r="B1045" s="12"/>
      <c r="C1045" s="12"/>
      <c r="D1045" s="12"/>
      <c r="E1045" s="12"/>
      <c r="F1045" s="13"/>
      <c r="G1045" s="12"/>
      <c r="H1045" s="12"/>
      <c r="I1045" s="12"/>
      <c r="J1045" s="12"/>
      <c r="K1045" s="12"/>
      <c r="L1045" s="13"/>
      <c r="M1045" s="30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2" t="str">
        <f>IFERROR(__xludf.DUMMYFUNCTION("IF(Account!$F1045&lt;&gt;"""", VALUE(REGEXREPLACE($I1045, ""\,"", ""."")), """")"),"")</f>
        <v/>
      </c>
      <c r="O1045" s="33" t="str">
        <f>IF(Account!$F1045&lt;&gt;"", DATEVALUE(MID($A1045,4,3) &amp; LEFT($A1045,3) &amp; RIGHT($A1045,4)) + TIMEVALUE($B1045), "")</f>
        <v/>
      </c>
      <c r="P1045" s="34" t="str">
        <f>IF(Account!$F1045&lt;&gt;"", DATEVALUE(MID($C1045,4,3) &amp; LEFT($C1045,3) &amp; RIGHT($C1045,4)), "")</f>
        <v/>
      </c>
      <c r="Q1045" s="35" t="str">
        <f t="array" ref="Q1045">IF($R1045&lt;&gt;"",IFERROR(INDEX(ISIN!$B:$B,MATCH($R1045,ISIN!$C:$C,0))),)</f>
        <v/>
      </c>
      <c r="R1045" s="36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5" t="str">
        <f t="shared" si="1"/>
        <v/>
      </c>
      <c r="T1045" s="37" t="str">
        <f t="shared" si="2"/>
        <v/>
      </c>
      <c r="U1045" s="38" t="str">
        <f t="shared" si="3"/>
        <v/>
      </c>
      <c r="V1045" s="32" t="str">
        <f t="shared" si="4"/>
        <v/>
      </c>
      <c r="W1045" s="39" t="str">
        <f>IFERROR(__xludf.DUMMYFUNCTION(" IF(Account!$F1045&lt;&gt;"""", SPLIT(Account!$F1045, "" ""), """")"),"")</f>
        <v/>
      </c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</row>
    <row r="1046">
      <c r="A1046" s="12"/>
      <c r="B1046" s="12"/>
      <c r="C1046" s="12"/>
      <c r="D1046" s="12"/>
      <c r="E1046" s="12"/>
      <c r="F1046" s="13"/>
      <c r="G1046" s="291"/>
      <c r="H1046" s="12"/>
      <c r="I1046" s="12"/>
      <c r="J1046" s="12"/>
      <c r="K1046" s="12"/>
      <c r="L1046" s="13"/>
      <c r="M1046" s="30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2" t="str">
        <f>IFERROR(__xludf.DUMMYFUNCTION("IF(Account!$F1046&lt;&gt;"""", VALUE(REGEXREPLACE($I1046, ""\,"", ""."")), """")"),"")</f>
        <v/>
      </c>
      <c r="O1046" s="33" t="str">
        <f>IF(Account!$F1046&lt;&gt;"", DATEVALUE(MID($A1046,4,3) &amp; LEFT($A1046,3) &amp; RIGHT($A1046,4)) + TIMEVALUE($B1046), "")</f>
        <v/>
      </c>
      <c r="P1046" s="34" t="str">
        <f>IF(Account!$F1046&lt;&gt;"", DATEVALUE(MID($C1046,4,3) &amp; LEFT($C1046,3) &amp; RIGHT($C1046,4)), "")</f>
        <v/>
      </c>
      <c r="Q1046" s="35" t="str">
        <f t="array" ref="Q1046">IF($R1046&lt;&gt;"",IFERROR(INDEX(ISIN!$B:$B,MATCH($R1046,ISIN!$C:$C,0))),)</f>
        <v/>
      </c>
      <c r="R1046" s="36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5" t="str">
        <f t="shared" si="1"/>
        <v/>
      </c>
      <c r="T1046" s="37" t="str">
        <f t="shared" si="2"/>
        <v/>
      </c>
      <c r="U1046" s="38" t="str">
        <f t="shared" si="3"/>
        <v/>
      </c>
      <c r="V1046" s="32" t="str">
        <f t="shared" si="4"/>
        <v/>
      </c>
      <c r="W1046" s="39" t="str">
        <f>IFERROR(__xludf.DUMMYFUNCTION(" IF(Account!$F1046&lt;&gt;"""", SPLIT(Account!$F1046, "" ""), """")"),"")</f>
        <v/>
      </c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</row>
    <row r="1047">
      <c r="A1047" s="291"/>
      <c r="B1047" s="291"/>
      <c r="C1047" s="291"/>
      <c r="D1047" s="291"/>
      <c r="E1047" s="291"/>
      <c r="F1047" s="335"/>
      <c r="G1047" s="291"/>
      <c r="H1047" s="291"/>
      <c r="I1047" s="291"/>
      <c r="J1047" s="291"/>
      <c r="K1047" s="291"/>
      <c r="L1047" s="13"/>
      <c r="M1047" s="30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2" t="str">
        <f>IFERROR(__xludf.DUMMYFUNCTION("IF(Account!$F1047&lt;&gt;"""", VALUE(REGEXREPLACE($I1047, ""\,"", ""."")), """")"),"")</f>
        <v/>
      </c>
      <c r="O1047" s="33" t="str">
        <f>IF(Account!$F1047&lt;&gt;"", DATEVALUE(MID($A1047,4,3) &amp; LEFT($A1047,3) &amp; RIGHT($A1047,4)) + TIMEVALUE($B1047), "")</f>
        <v/>
      </c>
      <c r="P1047" s="34" t="str">
        <f>IF(Account!$F1047&lt;&gt;"", DATEVALUE(MID($C1047,4,3) &amp; LEFT($C1047,3) &amp; RIGHT($C1047,4)), "")</f>
        <v/>
      </c>
      <c r="Q1047" s="35" t="str">
        <f t="array" ref="Q1047">IF($R1047&lt;&gt;"",IFERROR(INDEX(ISIN!$B:$B,MATCH($R1047,ISIN!$C:$C,0))),)</f>
        <v/>
      </c>
      <c r="R1047" s="36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5" t="str">
        <f t="shared" si="1"/>
        <v/>
      </c>
      <c r="T1047" s="37" t="str">
        <f t="shared" si="2"/>
        <v/>
      </c>
      <c r="U1047" s="38" t="str">
        <f t="shared" si="3"/>
        <v/>
      </c>
      <c r="V1047" s="32" t="str">
        <f t="shared" si="4"/>
        <v/>
      </c>
      <c r="W1047" s="39" t="str">
        <f>IFERROR(__xludf.DUMMYFUNCTION(" IF(Account!$F1047&lt;&gt;"""", SPLIT(Account!$F1047, "" ""), """")"),"")</f>
        <v/>
      </c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</row>
    <row r="1048">
      <c r="A1048" s="12"/>
      <c r="B1048" s="12"/>
      <c r="C1048" s="12"/>
      <c r="D1048" s="12"/>
      <c r="E1048" s="12"/>
      <c r="F1048" s="13"/>
      <c r="G1048" s="12"/>
      <c r="H1048" s="12"/>
      <c r="I1048" s="12"/>
      <c r="J1048" s="12"/>
      <c r="K1048" s="12"/>
      <c r="L1048" s="13"/>
      <c r="M1048" s="30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2" t="str">
        <f>IFERROR(__xludf.DUMMYFUNCTION("IF(Account!$F1048&lt;&gt;"""", VALUE(REGEXREPLACE($I1048, ""\,"", ""."")), """")"),"")</f>
        <v/>
      </c>
      <c r="O1048" s="33" t="str">
        <f>IF(Account!$F1048&lt;&gt;"", DATEVALUE(MID($A1048,4,3) &amp; LEFT($A1048,3) &amp; RIGHT($A1048,4)) + TIMEVALUE($B1048), "")</f>
        <v/>
      </c>
      <c r="P1048" s="34" t="str">
        <f>IF(Account!$F1048&lt;&gt;"", DATEVALUE(MID($C1048,4,3) &amp; LEFT($C1048,3) &amp; RIGHT($C1048,4)), "")</f>
        <v/>
      </c>
      <c r="Q1048" s="35" t="str">
        <f t="array" ref="Q1048">IF($R1048&lt;&gt;"",IFERROR(INDEX(ISIN!$B:$B,MATCH($R1048,ISIN!$C:$C,0))),)</f>
        <v/>
      </c>
      <c r="R1048" s="36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5" t="str">
        <f t="shared" si="1"/>
        <v/>
      </c>
      <c r="T1048" s="37" t="str">
        <f t="shared" si="2"/>
        <v/>
      </c>
      <c r="U1048" s="38" t="str">
        <f t="shared" si="3"/>
        <v/>
      </c>
      <c r="V1048" s="32" t="str">
        <f t="shared" si="4"/>
        <v/>
      </c>
      <c r="W1048" s="39" t="str">
        <f>IFERROR(__xludf.DUMMYFUNCTION(" IF(Account!$F1048&lt;&gt;"""", SPLIT(Account!$F1048, "" ""), """")"),"")</f>
        <v/>
      </c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</row>
    <row r="1049">
      <c r="A1049" s="12"/>
      <c r="B1049" s="12"/>
      <c r="C1049" s="12"/>
      <c r="D1049" s="12"/>
      <c r="E1049" s="12"/>
      <c r="F1049" s="13"/>
      <c r="G1049" s="291"/>
      <c r="H1049" s="12"/>
      <c r="I1049" s="12"/>
      <c r="J1049" s="12"/>
      <c r="K1049" s="12"/>
      <c r="L1049" s="13"/>
      <c r="M1049" s="30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2" t="str">
        <f>IFERROR(__xludf.DUMMYFUNCTION("IF(Account!$F1049&lt;&gt;"""", VALUE(REGEXREPLACE($I1049, ""\,"", ""."")), """")"),"")</f>
        <v/>
      </c>
      <c r="O1049" s="33" t="str">
        <f>IF(Account!$F1049&lt;&gt;"", DATEVALUE(MID($A1049,4,3) &amp; LEFT($A1049,3) &amp; RIGHT($A1049,4)) + TIMEVALUE($B1049), "")</f>
        <v/>
      </c>
      <c r="P1049" s="34" t="str">
        <f>IF(Account!$F1049&lt;&gt;"", DATEVALUE(MID($C1049,4,3) &amp; LEFT($C1049,3) &amp; RIGHT($C1049,4)), "")</f>
        <v/>
      </c>
      <c r="Q1049" s="35" t="str">
        <f t="array" ref="Q1049">IF($R1049&lt;&gt;"",IFERROR(INDEX(ISIN!$B:$B,MATCH($R1049,ISIN!$C:$C,0))),)</f>
        <v/>
      </c>
      <c r="R1049" s="36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5" t="str">
        <f t="shared" si="1"/>
        <v/>
      </c>
      <c r="T1049" s="37" t="str">
        <f t="shared" si="2"/>
        <v/>
      </c>
      <c r="U1049" s="38" t="str">
        <f t="shared" si="3"/>
        <v/>
      </c>
      <c r="V1049" s="32" t="str">
        <f t="shared" si="4"/>
        <v/>
      </c>
      <c r="W1049" s="39" t="str">
        <f>IFERROR(__xludf.DUMMYFUNCTION(" IF(Account!$F1049&lt;&gt;"""", SPLIT(Account!$F1049, "" ""), """")"),"")</f>
        <v/>
      </c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</row>
    <row r="1050">
      <c r="A1050" s="12"/>
      <c r="B1050" s="12"/>
      <c r="C1050" s="12"/>
      <c r="D1050" s="12"/>
      <c r="E1050" s="12"/>
      <c r="F1050" s="13"/>
      <c r="G1050" s="12"/>
      <c r="H1050" s="12"/>
      <c r="I1050" s="12"/>
      <c r="J1050" s="12"/>
      <c r="K1050" s="12"/>
      <c r="L1050" s="13"/>
      <c r="M1050" s="30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2" t="str">
        <f>IFERROR(__xludf.DUMMYFUNCTION("IF(Account!$F1050&lt;&gt;"""", VALUE(REGEXREPLACE($I1050, ""\,"", ""."")), """")"),"")</f>
        <v/>
      </c>
      <c r="O1050" s="33" t="str">
        <f>IF(Account!$F1050&lt;&gt;"", DATEVALUE(MID($A1050,4,3) &amp; LEFT($A1050,3) &amp; RIGHT($A1050,4)) + TIMEVALUE($B1050), "")</f>
        <v/>
      </c>
      <c r="P1050" s="34" t="str">
        <f>IF(Account!$F1050&lt;&gt;"", DATEVALUE(MID($C1050,4,3) &amp; LEFT($C1050,3) &amp; RIGHT($C1050,4)), "")</f>
        <v/>
      </c>
      <c r="Q1050" s="35" t="str">
        <f t="array" ref="Q1050">IF($R1050&lt;&gt;"",IFERROR(INDEX(ISIN!$B:$B,MATCH($R1050,ISIN!$C:$C,0))),)</f>
        <v/>
      </c>
      <c r="R1050" s="36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5" t="str">
        <f t="shared" si="1"/>
        <v/>
      </c>
      <c r="T1050" s="37" t="str">
        <f t="shared" si="2"/>
        <v/>
      </c>
      <c r="U1050" s="38" t="str">
        <f t="shared" si="3"/>
        <v/>
      </c>
      <c r="V1050" s="32" t="str">
        <f t="shared" si="4"/>
        <v/>
      </c>
      <c r="W1050" s="39" t="str">
        <f>IFERROR(__xludf.DUMMYFUNCTION(" IF(Account!$F1050&lt;&gt;"""", SPLIT(Account!$F1050, "" ""), """")"),"")</f>
        <v/>
      </c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</row>
    <row r="1051">
      <c r="A1051" s="12"/>
      <c r="B1051" s="12"/>
      <c r="C1051" s="12"/>
      <c r="D1051" s="12"/>
      <c r="E1051" s="12"/>
      <c r="F1051" s="13"/>
      <c r="G1051" s="291"/>
      <c r="H1051" s="12"/>
      <c r="I1051" s="12"/>
      <c r="J1051" s="12"/>
      <c r="K1051" s="12"/>
      <c r="L1051" s="13"/>
      <c r="M1051" s="30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2" t="str">
        <f>IFERROR(__xludf.DUMMYFUNCTION("IF(Account!$F1051&lt;&gt;"""", VALUE(REGEXREPLACE($I1051, ""\,"", ""."")), """")"),"")</f>
        <v/>
      </c>
      <c r="O1051" s="33" t="str">
        <f>IF(Account!$F1051&lt;&gt;"", DATEVALUE(MID($A1051,4,3) &amp; LEFT($A1051,3) &amp; RIGHT($A1051,4)) + TIMEVALUE($B1051), "")</f>
        <v/>
      </c>
      <c r="P1051" s="34" t="str">
        <f>IF(Account!$F1051&lt;&gt;"", DATEVALUE(MID($C1051,4,3) &amp; LEFT($C1051,3) &amp; RIGHT($C1051,4)), "")</f>
        <v/>
      </c>
      <c r="Q1051" s="35" t="str">
        <f t="array" ref="Q1051">IF($R1051&lt;&gt;"",IFERROR(INDEX(ISIN!$B:$B,MATCH($R1051,ISIN!$C:$C,0))),)</f>
        <v/>
      </c>
      <c r="R1051" s="36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5" t="str">
        <f t="shared" si="1"/>
        <v/>
      </c>
      <c r="T1051" s="37" t="str">
        <f t="shared" si="2"/>
        <v/>
      </c>
      <c r="U1051" s="38" t="str">
        <f t="shared" si="3"/>
        <v/>
      </c>
      <c r="V1051" s="32" t="str">
        <f t="shared" si="4"/>
        <v/>
      </c>
      <c r="W1051" s="39" t="str">
        <f>IFERROR(__xludf.DUMMYFUNCTION(" IF(Account!$F1051&lt;&gt;"""", SPLIT(Account!$F1051, "" ""), """")"),"")</f>
        <v/>
      </c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</row>
    <row r="1052">
      <c r="A1052" s="12"/>
      <c r="B1052" s="12"/>
      <c r="C1052" s="12"/>
      <c r="D1052" s="12"/>
      <c r="E1052" s="12"/>
      <c r="F1052" s="13"/>
      <c r="G1052" s="291"/>
      <c r="H1052" s="12"/>
      <c r="I1052" s="12"/>
      <c r="J1052" s="12"/>
      <c r="K1052" s="12"/>
      <c r="L1052" s="13"/>
      <c r="M1052" s="30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2" t="str">
        <f>IFERROR(__xludf.DUMMYFUNCTION("IF(Account!$F1052&lt;&gt;"""", VALUE(REGEXREPLACE($I1052, ""\,"", ""."")), """")"),"")</f>
        <v/>
      </c>
      <c r="O1052" s="33" t="str">
        <f>IF(Account!$F1052&lt;&gt;"", DATEVALUE(MID($A1052,4,3) &amp; LEFT($A1052,3) &amp; RIGHT($A1052,4)) + TIMEVALUE($B1052), "")</f>
        <v/>
      </c>
      <c r="P1052" s="34" t="str">
        <f>IF(Account!$F1052&lt;&gt;"", DATEVALUE(MID($C1052,4,3) &amp; LEFT($C1052,3) &amp; RIGHT($C1052,4)), "")</f>
        <v/>
      </c>
      <c r="Q1052" s="35" t="str">
        <f t="array" ref="Q1052">IF($R1052&lt;&gt;"",IFERROR(INDEX(ISIN!$B:$B,MATCH($R1052,ISIN!$C:$C,0))),)</f>
        <v/>
      </c>
      <c r="R1052" s="36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5" t="str">
        <f t="shared" si="1"/>
        <v/>
      </c>
      <c r="T1052" s="37" t="str">
        <f t="shared" si="2"/>
        <v/>
      </c>
      <c r="U1052" s="38" t="str">
        <f t="shared" si="3"/>
        <v/>
      </c>
      <c r="V1052" s="32" t="str">
        <f t="shared" si="4"/>
        <v/>
      </c>
      <c r="W1052" s="39" t="str">
        <f>IFERROR(__xludf.DUMMYFUNCTION(" IF(Account!$F1052&lt;&gt;"""", SPLIT(Account!$F1052, "" ""), """")"),"")</f>
        <v/>
      </c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</row>
    <row r="1053">
      <c r="A1053" s="12"/>
      <c r="B1053" s="12"/>
      <c r="C1053" s="12"/>
      <c r="D1053" s="12"/>
      <c r="E1053" s="12"/>
      <c r="F1053" s="13"/>
      <c r="G1053" s="291"/>
      <c r="H1053" s="12"/>
      <c r="I1053" s="12"/>
      <c r="J1053" s="12"/>
      <c r="K1053" s="12"/>
      <c r="L1053" s="13"/>
      <c r="M1053" s="30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2" t="str">
        <f>IFERROR(__xludf.DUMMYFUNCTION("IF(Account!$F1053&lt;&gt;"""", VALUE(REGEXREPLACE($I1053, ""\,"", ""."")), """")"),"")</f>
        <v/>
      </c>
      <c r="O1053" s="33" t="str">
        <f>IF(Account!$F1053&lt;&gt;"", DATEVALUE(MID($A1053,4,3) &amp; LEFT($A1053,3) &amp; RIGHT($A1053,4)) + TIMEVALUE($B1053), "")</f>
        <v/>
      </c>
      <c r="P1053" s="34" t="str">
        <f>IF(Account!$F1053&lt;&gt;"", DATEVALUE(MID($C1053,4,3) &amp; LEFT($C1053,3) &amp; RIGHT($C1053,4)), "")</f>
        <v/>
      </c>
      <c r="Q1053" s="35" t="str">
        <f t="array" ref="Q1053">IF($R1053&lt;&gt;"",IFERROR(INDEX(ISIN!$B:$B,MATCH($R1053,ISIN!$C:$C,0))),)</f>
        <v/>
      </c>
      <c r="R1053" s="36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5" t="str">
        <f t="shared" si="1"/>
        <v/>
      </c>
      <c r="T1053" s="37" t="str">
        <f t="shared" si="2"/>
        <v/>
      </c>
      <c r="U1053" s="38" t="str">
        <f t="shared" si="3"/>
        <v/>
      </c>
      <c r="V1053" s="32" t="str">
        <f t="shared" si="4"/>
        <v/>
      </c>
      <c r="W1053" s="39" t="str">
        <f>IFERROR(__xludf.DUMMYFUNCTION(" IF(Account!$F1053&lt;&gt;"""", SPLIT(Account!$F1053, "" ""), """")"),"")</f>
        <v/>
      </c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</row>
    <row r="1054">
      <c r="A1054" s="12"/>
      <c r="B1054" s="12"/>
      <c r="C1054" s="12"/>
      <c r="D1054" s="12"/>
      <c r="E1054" s="12"/>
      <c r="F1054" s="13"/>
      <c r="G1054" s="291"/>
      <c r="H1054" s="12"/>
      <c r="I1054" s="12"/>
      <c r="J1054" s="12"/>
      <c r="K1054" s="12"/>
      <c r="L1054" s="13"/>
      <c r="M1054" s="30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2" t="str">
        <f>IFERROR(__xludf.DUMMYFUNCTION("IF(Account!$F1054&lt;&gt;"""", VALUE(REGEXREPLACE($I1054, ""\,"", ""."")), """")"),"")</f>
        <v/>
      </c>
      <c r="O1054" s="33" t="str">
        <f>IF(Account!$F1054&lt;&gt;"", DATEVALUE(MID($A1054,4,3) &amp; LEFT($A1054,3) &amp; RIGHT($A1054,4)) + TIMEVALUE($B1054), "")</f>
        <v/>
      </c>
      <c r="P1054" s="34" t="str">
        <f>IF(Account!$F1054&lt;&gt;"", DATEVALUE(MID($C1054,4,3) &amp; LEFT($C1054,3) &amp; RIGHT($C1054,4)), "")</f>
        <v/>
      </c>
      <c r="Q1054" s="35" t="str">
        <f t="array" ref="Q1054">IF($R1054&lt;&gt;"",IFERROR(INDEX(ISIN!$B:$B,MATCH($R1054,ISIN!$C:$C,0))),)</f>
        <v/>
      </c>
      <c r="R1054" s="36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5" t="str">
        <f t="shared" si="1"/>
        <v/>
      </c>
      <c r="T1054" s="37" t="str">
        <f t="shared" si="2"/>
        <v/>
      </c>
      <c r="U1054" s="38" t="str">
        <f t="shared" si="3"/>
        <v/>
      </c>
      <c r="V1054" s="32" t="str">
        <f t="shared" si="4"/>
        <v/>
      </c>
      <c r="W1054" s="39" t="str">
        <f>IFERROR(__xludf.DUMMYFUNCTION(" IF(Account!$F1054&lt;&gt;"""", SPLIT(Account!$F1054, "" ""), """")"),"")</f>
        <v/>
      </c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</row>
    <row r="1055">
      <c r="A1055" s="12"/>
      <c r="B1055" s="12"/>
      <c r="C1055" s="12"/>
      <c r="D1055" s="12"/>
      <c r="E1055" s="12"/>
      <c r="F1055" s="13"/>
      <c r="G1055" s="291"/>
      <c r="H1055" s="12"/>
      <c r="I1055" s="12"/>
      <c r="J1055" s="12"/>
      <c r="K1055" s="12"/>
      <c r="L1055" s="13"/>
      <c r="M1055" s="30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2" t="str">
        <f>IFERROR(__xludf.DUMMYFUNCTION("IF(Account!$F1055&lt;&gt;"""", VALUE(REGEXREPLACE($I1055, ""\,"", ""."")), """")"),"")</f>
        <v/>
      </c>
      <c r="O1055" s="33" t="str">
        <f>IF(Account!$F1055&lt;&gt;"", DATEVALUE(MID($A1055,4,3) &amp; LEFT($A1055,3) &amp; RIGHT($A1055,4)) + TIMEVALUE($B1055), "")</f>
        <v/>
      </c>
      <c r="P1055" s="34" t="str">
        <f>IF(Account!$F1055&lt;&gt;"", DATEVALUE(MID($C1055,4,3) &amp; LEFT($C1055,3) &amp; RIGHT($C1055,4)), "")</f>
        <v/>
      </c>
      <c r="Q1055" s="35" t="str">
        <f t="array" ref="Q1055">IF($R1055&lt;&gt;"",IFERROR(INDEX(ISIN!$B:$B,MATCH($R1055,ISIN!$C:$C,0))),)</f>
        <v/>
      </c>
      <c r="R1055" s="36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5" t="str">
        <f t="shared" si="1"/>
        <v/>
      </c>
      <c r="T1055" s="37" t="str">
        <f t="shared" si="2"/>
        <v/>
      </c>
      <c r="U1055" s="38" t="str">
        <f t="shared" si="3"/>
        <v/>
      </c>
      <c r="V1055" s="32" t="str">
        <f t="shared" si="4"/>
        <v/>
      </c>
      <c r="W1055" s="39" t="str">
        <f>IFERROR(__xludf.DUMMYFUNCTION(" IF(Account!$F1055&lt;&gt;"""", SPLIT(Account!$F1055, "" ""), """")"),"")</f>
        <v/>
      </c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</row>
    <row r="1056">
      <c r="A1056" s="12"/>
      <c r="B1056" s="12"/>
      <c r="C1056" s="12"/>
      <c r="D1056" s="12"/>
      <c r="E1056" s="12"/>
      <c r="F1056" s="13"/>
      <c r="G1056" s="291"/>
      <c r="H1056" s="12"/>
      <c r="I1056" s="12"/>
      <c r="J1056" s="12"/>
      <c r="K1056" s="12"/>
      <c r="L1056" s="13"/>
      <c r="M1056" s="30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2" t="str">
        <f>IFERROR(__xludf.DUMMYFUNCTION("IF(Account!$F1056&lt;&gt;"""", VALUE(REGEXREPLACE($I1056, ""\,"", ""."")), """")"),"")</f>
        <v/>
      </c>
      <c r="O1056" s="33" t="str">
        <f>IF(Account!$F1056&lt;&gt;"", DATEVALUE(MID($A1056,4,3) &amp; LEFT($A1056,3) &amp; RIGHT($A1056,4)) + TIMEVALUE($B1056), "")</f>
        <v/>
      </c>
      <c r="P1056" s="34" t="str">
        <f>IF(Account!$F1056&lt;&gt;"", DATEVALUE(MID($C1056,4,3) &amp; LEFT($C1056,3) &amp; RIGHT($C1056,4)), "")</f>
        <v/>
      </c>
      <c r="Q1056" s="35" t="str">
        <f t="array" ref="Q1056">IF($R1056&lt;&gt;"",IFERROR(INDEX(ISIN!$B:$B,MATCH($R1056,ISIN!$C:$C,0))),)</f>
        <v/>
      </c>
      <c r="R1056" s="36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5" t="str">
        <f t="shared" si="1"/>
        <v/>
      </c>
      <c r="T1056" s="37" t="str">
        <f t="shared" si="2"/>
        <v/>
      </c>
      <c r="U1056" s="38" t="str">
        <f t="shared" si="3"/>
        <v/>
      </c>
      <c r="V1056" s="32" t="str">
        <f t="shared" si="4"/>
        <v/>
      </c>
      <c r="W1056" s="39" t="str">
        <f>IFERROR(__xludf.DUMMYFUNCTION(" IF(Account!$F1056&lt;&gt;"""", SPLIT(Account!$F1056, "" ""), """")"),"")</f>
        <v/>
      </c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</row>
    <row r="1057">
      <c r="A1057" s="12"/>
      <c r="B1057" s="12"/>
      <c r="C1057" s="12"/>
      <c r="D1057" s="12"/>
      <c r="E1057" s="12"/>
      <c r="F1057" s="13"/>
      <c r="G1057" s="12"/>
      <c r="H1057" s="12"/>
      <c r="I1057" s="12"/>
      <c r="J1057" s="12"/>
      <c r="K1057" s="12"/>
      <c r="L1057" s="13"/>
      <c r="M1057" s="30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2" t="str">
        <f>IFERROR(__xludf.DUMMYFUNCTION("IF(Account!$F1057&lt;&gt;"""", VALUE(REGEXREPLACE($I1057, ""\,"", ""."")), """")"),"")</f>
        <v/>
      </c>
      <c r="O1057" s="33" t="str">
        <f>IF(Account!$F1057&lt;&gt;"", DATEVALUE(MID($A1057,4,3) &amp; LEFT($A1057,3) &amp; RIGHT($A1057,4)) + TIMEVALUE($B1057), "")</f>
        <v/>
      </c>
      <c r="P1057" s="34" t="str">
        <f>IF(Account!$F1057&lt;&gt;"", DATEVALUE(MID($C1057,4,3) &amp; LEFT($C1057,3) &amp; RIGHT($C1057,4)), "")</f>
        <v/>
      </c>
      <c r="Q1057" s="35" t="str">
        <f t="array" ref="Q1057">IF($R1057&lt;&gt;"",IFERROR(INDEX(ISIN!$B:$B,MATCH($R1057,ISIN!$C:$C,0))),)</f>
        <v/>
      </c>
      <c r="R1057" s="36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5" t="str">
        <f t="shared" si="1"/>
        <v/>
      </c>
      <c r="T1057" s="37" t="str">
        <f t="shared" si="2"/>
        <v/>
      </c>
      <c r="U1057" s="38" t="str">
        <f t="shared" si="3"/>
        <v/>
      </c>
      <c r="V1057" s="32" t="str">
        <f t="shared" si="4"/>
        <v/>
      </c>
      <c r="W1057" s="39" t="str">
        <f>IFERROR(__xludf.DUMMYFUNCTION(" IF(Account!$F1057&lt;&gt;"""", SPLIT(Account!$F1057, "" ""), """")"),"")</f>
        <v/>
      </c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</row>
    <row r="1058">
      <c r="A1058" s="12"/>
      <c r="B1058" s="12"/>
      <c r="C1058" s="12"/>
      <c r="D1058" s="12"/>
      <c r="E1058" s="12"/>
      <c r="F1058" s="13"/>
      <c r="G1058" s="291"/>
      <c r="H1058" s="12"/>
      <c r="I1058" s="12"/>
      <c r="J1058" s="12"/>
      <c r="K1058" s="12"/>
      <c r="L1058" s="13"/>
      <c r="M1058" s="30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2" t="str">
        <f>IFERROR(__xludf.DUMMYFUNCTION("IF(Account!$F1058&lt;&gt;"""", VALUE(REGEXREPLACE($I1058, ""\,"", ""."")), """")"),"")</f>
        <v/>
      </c>
      <c r="O1058" s="33" t="str">
        <f>IF(Account!$F1058&lt;&gt;"", DATEVALUE(MID($A1058,4,3) &amp; LEFT($A1058,3) &amp; RIGHT($A1058,4)) + TIMEVALUE($B1058), "")</f>
        <v/>
      </c>
      <c r="P1058" s="34" t="str">
        <f>IF(Account!$F1058&lt;&gt;"", DATEVALUE(MID($C1058,4,3) &amp; LEFT($C1058,3) &amp; RIGHT($C1058,4)), "")</f>
        <v/>
      </c>
      <c r="Q1058" s="35" t="str">
        <f t="array" ref="Q1058">IF($R1058&lt;&gt;"",IFERROR(INDEX(ISIN!$B:$B,MATCH($R1058,ISIN!$C:$C,0))),)</f>
        <v/>
      </c>
      <c r="R1058" s="36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5" t="str">
        <f t="shared" si="1"/>
        <v/>
      </c>
      <c r="T1058" s="37" t="str">
        <f t="shared" si="2"/>
        <v/>
      </c>
      <c r="U1058" s="38" t="str">
        <f t="shared" si="3"/>
        <v/>
      </c>
      <c r="V1058" s="32" t="str">
        <f t="shared" si="4"/>
        <v/>
      </c>
      <c r="W1058" s="39" t="str">
        <f>IFERROR(__xludf.DUMMYFUNCTION(" IF(Account!$F1058&lt;&gt;"""", SPLIT(Account!$F1058, "" ""), """")"),"")</f>
        <v/>
      </c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</row>
    <row r="1059">
      <c r="A1059" s="12"/>
      <c r="B1059" s="12"/>
      <c r="C1059" s="12"/>
      <c r="D1059" s="12"/>
      <c r="E1059" s="12"/>
      <c r="F1059" s="13"/>
      <c r="G1059" s="291"/>
      <c r="H1059" s="12"/>
      <c r="I1059" s="12"/>
      <c r="J1059" s="12"/>
      <c r="K1059" s="12"/>
      <c r="L1059" s="13"/>
      <c r="M1059" s="30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2" t="str">
        <f>IFERROR(__xludf.DUMMYFUNCTION("IF(Account!$F1059&lt;&gt;"""", VALUE(REGEXREPLACE($I1059, ""\,"", ""."")), """")"),"")</f>
        <v/>
      </c>
      <c r="O1059" s="33" t="str">
        <f>IF(Account!$F1059&lt;&gt;"", DATEVALUE(MID($A1059,4,3) &amp; LEFT($A1059,3) &amp; RIGHT($A1059,4)) + TIMEVALUE($B1059), "")</f>
        <v/>
      </c>
      <c r="P1059" s="34" t="str">
        <f>IF(Account!$F1059&lt;&gt;"", DATEVALUE(MID($C1059,4,3) &amp; LEFT($C1059,3) &amp; RIGHT($C1059,4)), "")</f>
        <v/>
      </c>
      <c r="Q1059" s="35" t="str">
        <f t="array" ref="Q1059">IF($R1059&lt;&gt;"",IFERROR(INDEX(ISIN!$B:$B,MATCH($R1059,ISIN!$C:$C,0))),)</f>
        <v/>
      </c>
      <c r="R1059" s="36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5" t="str">
        <f t="shared" si="1"/>
        <v/>
      </c>
      <c r="T1059" s="37" t="str">
        <f t="shared" si="2"/>
        <v/>
      </c>
      <c r="U1059" s="38" t="str">
        <f t="shared" si="3"/>
        <v/>
      </c>
      <c r="V1059" s="32" t="str">
        <f t="shared" si="4"/>
        <v/>
      </c>
      <c r="W1059" s="39" t="str">
        <f>IFERROR(__xludf.DUMMYFUNCTION(" IF(Account!$F1059&lt;&gt;"""", SPLIT(Account!$F1059, "" ""), """")"),"")</f>
        <v/>
      </c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</row>
    <row r="1060">
      <c r="A1060" s="12"/>
      <c r="B1060" s="12"/>
      <c r="C1060" s="12"/>
      <c r="D1060" s="12"/>
      <c r="E1060" s="12"/>
      <c r="F1060" s="13"/>
      <c r="G1060" s="291"/>
      <c r="H1060" s="12"/>
      <c r="I1060" s="12"/>
      <c r="J1060" s="12"/>
      <c r="K1060" s="12"/>
      <c r="L1060" s="13"/>
      <c r="M1060" s="30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2" t="str">
        <f>IFERROR(__xludf.DUMMYFUNCTION("IF(Account!$F1060&lt;&gt;"""", VALUE(REGEXREPLACE($I1060, ""\,"", ""."")), """")"),"")</f>
        <v/>
      </c>
      <c r="O1060" s="33" t="str">
        <f>IF(Account!$F1060&lt;&gt;"", DATEVALUE(MID($A1060,4,3) &amp; LEFT($A1060,3) &amp; RIGHT($A1060,4)) + TIMEVALUE($B1060), "")</f>
        <v/>
      </c>
      <c r="P1060" s="34" t="str">
        <f>IF(Account!$F1060&lt;&gt;"", DATEVALUE(MID($C1060,4,3) &amp; LEFT($C1060,3) &amp; RIGHT($C1060,4)), "")</f>
        <v/>
      </c>
      <c r="Q1060" s="35" t="str">
        <f t="array" ref="Q1060">IF($R1060&lt;&gt;"",IFERROR(INDEX(ISIN!$B:$B,MATCH($R1060,ISIN!$C:$C,0))),)</f>
        <v/>
      </c>
      <c r="R1060" s="36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5" t="str">
        <f t="shared" si="1"/>
        <v/>
      </c>
      <c r="T1060" s="37" t="str">
        <f t="shared" si="2"/>
        <v/>
      </c>
      <c r="U1060" s="38" t="str">
        <f t="shared" si="3"/>
        <v/>
      </c>
      <c r="V1060" s="32" t="str">
        <f t="shared" si="4"/>
        <v/>
      </c>
      <c r="W1060" s="39" t="str">
        <f>IFERROR(__xludf.DUMMYFUNCTION(" IF(Account!$F1060&lt;&gt;"""", SPLIT(Account!$F1060, "" ""), """")"),"")</f>
        <v/>
      </c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</row>
    <row r="1061">
      <c r="A1061" s="12"/>
      <c r="B1061" s="12"/>
      <c r="C1061" s="12"/>
      <c r="D1061" s="12"/>
      <c r="E1061" s="12"/>
      <c r="F1061" s="13"/>
      <c r="G1061" s="291"/>
      <c r="H1061" s="12"/>
      <c r="I1061" s="12"/>
      <c r="J1061" s="12"/>
      <c r="K1061" s="12"/>
      <c r="L1061" s="13"/>
      <c r="M1061" s="30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2" t="str">
        <f>IFERROR(__xludf.DUMMYFUNCTION("IF(Account!$F1061&lt;&gt;"""", VALUE(REGEXREPLACE($I1061, ""\,"", ""."")), """")"),"")</f>
        <v/>
      </c>
      <c r="O1061" s="33" t="str">
        <f>IF(Account!$F1061&lt;&gt;"", DATEVALUE(MID($A1061,4,3) &amp; LEFT($A1061,3) &amp; RIGHT($A1061,4)) + TIMEVALUE($B1061), "")</f>
        <v/>
      </c>
      <c r="P1061" s="34" t="str">
        <f>IF(Account!$F1061&lt;&gt;"", DATEVALUE(MID($C1061,4,3) &amp; LEFT($C1061,3) &amp; RIGHT($C1061,4)), "")</f>
        <v/>
      </c>
      <c r="Q1061" s="35" t="str">
        <f t="array" ref="Q1061">IF($R1061&lt;&gt;"",IFERROR(INDEX(ISIN!$B:$B,MATCH($R1061,ISIN!$C:$C,0))),)</f>
        <v/>
      </c>
      <c r="R1061" s="36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5" t="str">
        <f t="shared" si="1"/>
        <v/>
      </c>
      <c r="T1061" s="37" t="str">
        <f t="shared" si="2"/>
        <v/>
      </c>
      <c r="U1061" s="38" t="str">
        <f t="shared" si="3"/>
        <v/>
      </c>
      <c r="V1061" s="32" t="str">
        <f t="shared" si="4"/>
        <v/>
      </c>
      <c r="W1061" s="39" t="str">
        <f>IFERROR(__xludf.DUMMYFUNCTION(" IF(Account!$F1061&lt;&gt;"""", SPLIT(Account!$F1061, "" ""), """")"),"")</f>
        <v/>
      </c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</row>
    <row r="1062">
      <c r="A1062" s="12"/>
      <c r="B1062" s="12"/>
      <c r="C1062" s="12"/>
      <c r="D1062" s="12"/>
      <c r="E1062" s="12"/>
      <c r="F1062" s="13"/>
      <c r="G1062" s="291"/>
      <c r="H1062" s="12"/>
      <c r="I1062" s="12"/>
      <c r="J1062" s="12"/>
      <c r="K1062" s="12"/>
      <c r="L1062" s="13"/>
      <c r="M1062" s="30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2" t="str">
        <f>IFERROR(__xludf.DUMMYFUNCTION("IF(Account!$F1062&lt;&gt;"""", VALUE(REGEXREPLACE($I1062, ""\,"", ""."")), """")"),"")</f>
        <v/>
      </c>
      <c r="O1062" s="33" t="str">
        <f>IF(Account!$F1062&lt;&gt;"", DATEVALUE(MID($A1062,4,3) &amp; LEFT($A1062,3) &amp; RIGHT($A1062,4)) + TIMEVALUE($B1062), "")</f>
        <v/>
      </c>
      <c r="P1062" s="34" t="str">
        <f>IF(Account!$F1062&lt;&gt;"", DATEVALUE(MID($C1062,4,3) &amp; LEFT($C1062,3) &amp; RIGHT($C1062,4)), "")</f>
        <v/>
      </c>
      <c r="Q1062" s="35" t="str">
        <f t="array" ref="Q1062">IF($R1062&lt;&gt;"",IFERROR(INDEX(ISIN!$B:$B,MATCH($R1062,ISIN!$C:$C,0))),)</f>
        <v/>
      </c>
      <c r="R1062" s="36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5" t="str">
        <f t="shared" si="1"/>
        <v/>
      </c>
      <c r="T1062" s="37" t="str">
        <f t="shared" si="2"/>
        <v/>
      </c>
      <c r="U1062" s="38" t="str">
        <f t="shared" si="3"/>
        <v/>
      </c>
      <c r="V1062" s="32" t="str">
        <f t="shared" si="4"/>
        <v/>
      </c>
      <c r="W1062" s="39" t="str">
        <f>IFERROR(__xludf.DUMMYFUNCTION(" IF(Account!$F1062&lt;&gt;"""", SPLIT(Account!$F1062, "" ""), """")"),"")</f>
        <v/>
      </c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</row>
    <row r="1063">
      <c r="A1063" s="12"/>
      <c r="B1063" s="12"/>
      <c r="C1063" s="12"/>
      <c r="D1063" s="12"/>
      <c r="E1063" s="12"/>
      <c r="F1063" s="13"/>
      <c r="G1063" s="291"/>
      <c r="H1063" s="12"/>
      <c r="I1063" s="12"/>
      <c r="J1063" s="12"/>
      <c r="K1063" s="12"/>
      <c r="L1063" s="13"/>
      <c r="M1063" s="30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2" t="str">
        <f>IFERROR(__xludf.DUMMYFUNCTION("IF(Account!$F1063&lt;&gt;"""", VALUE(REGEXREPLACE($I1063, ""\,"", ""."")), """")"),"")</f>
        <v/>
      </c>
      <c r="O1063" s="33" t="str">
        <f>IF(Account!$F1063&lt;&gt;"", DATEVALUE(MID($A1063,4,3) &amp; LEFT($A1063,3) &amp; RIGHT($A1063,4)) + TIMEVALUE($B1063), "")</f>
        <v/>
      </c>
      <c r="P1063" s="34" t="str">
        <f>IF(Account!$F1063&lt;&gt;"", DATEVALUE(MID($C1063,4,3) &amp; LEFT($C1063,3) &amp; RIGHT($C1063,4)), "")</f>
        <v/>
      </c>
      <c r="Q1063" s="35" t="str">
        <f t="array" ref="Q1063">IF($R1063&lt;&gt;"",IFERROR(INDEX(ISIN!$B:$B,MATCH($R1063,ISIN!$C:$C,0))),)</f>
        <v/>
      </c>
      <c r="R1063" s="36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5" t="str">
        <f t="shared" si="1"/>
        <v/>
      </c>
      <c r="T1063" s="37" t="str">
        <f t="shared" si="2"/>
        <v/>
      </c>
      <c r="U1063" s="38" t="str">
        <f t="shared" si="3"/>
        <v/>
      </c>
      <c r="V1063" s="32" t="str">
        <f t="shared" si="4"/>
        <v/>
      </c>
      <c r="W1063" s="39" t="str">
        <f>IFERROR(__xludf.DUMMYFUNCTION(" IF(Account!$F1063&lt;&gt;"""", SPLIT(Account!$F1063, "" ""), """")"),"")</f>
        <v/>
      </c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</row>
    <row r="1064">
      <c r="A1064" s="12"/>
      <c r="B1064" s="12"/>
      <c r="C1064" s="12"/>
      <c r="D1064" s="12"/>
      <c r="E1064" s="12"/>
      <c r="F1064" s="13"/>
      <c r="G1064" s="291"/>
      <c r="H1064" s="291"/>
      <c r="I1064" s="291"/>
      <c r="J1064" s="12"/>
      <c r="K1064" s="12"/>
      <c r="L1064" s="335"/>
      <c r="M1064" s="30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2" t="str">
        <f>IFERROR(__xludf.DUMMYFUNCTION("IF(Account!$F1064&lt;&gt;"""", VALUE(REGEXREPLACE($I1064, ""\,"", ""."")), """")"),"")</f>
        <v/>
      </c>
      <c r="O1064" s="33" t="str">
        <f>IF(Account!$F1064&lt;&gt;"", DATEVALUE(MID($A1064,4,3) &amp; LEFT($A1064,3) &amp; RIGHT($A1064,4)) + TIMEVALUE($B1064), "")</f>
        <v/>
      </c>
      <c r="P1064" s="34" t="str">
        <f>IF(Account!$F1064&lt;&gt;"", DATEVALUE(MID($C1064,4,3) &amp; LEFT($C1064,3) &amp; RIGHT($C1064,4)), "")</f>
        <v/>
      </c>
      <c r="Q1064" s="35" t="str">
        <f t="array" ref="Q1064">IF($R1064&lt;&gt;"",IFERROR(INDEX(ISIN!$B:$B,MATCH($R1064,ISIN!$C:$C,0))),)</f>
        <v/>
      </c>
      <c r="R1064" s="36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5" t="str">
        <f t="shared" si="1"/>
        <v/>
      </c>
      <c r="T1064" s="37" t="str">
        <f t="shared" si="2"/>
        <v/>
      </c>
      <c r="U1064" s="38" t="str">
        <f t="shared" si="3"/>
        <v/>
      </c>
      <c r="V1064" s="32" t="str">
        <f t="shared" si="4"/>
        <v/>
      </c>
      <c r="W1064" s="39" t="str">
        <f>IFERROR(__xludf.DUMMYFUNCTION(" IF(Account!$F1064&lt;&gt;"""", SPLIT(Account!$F1064, "" ""), """")"),"")</f>
        <v/>
      </c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</row>
    <row r="1065">
      <c r="A1065" s="12"/>
      <c r="B1065" s="12"/>
      <c r="C1065" s="12"/>
      <c r="D1065" s="291"/>
      <c r="E1065" s="291"/>
      <c r="F1065" s="13"/>
      <c r="G1065" s="12"/>
      <c r="H1065" s="12"/>
      <c r="I1065" s="12"/>
      <c r="J1065" s="12"/>
      <c r="K1065" s="12"/>
      <c r="L1065" s="335"/>
      <c r="M1065" s="30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2" t="str">
        <f>IFERROR(__xludf.DUMMYFUNCTION("IF(Account!$F1065&lt;&gt;"""", VALUE(REGEXREPLACE($I1065, ""\,"", ""."")), """")"),"")</f>
        <v/>
      </c>
      <c r="O1065" s="33" t="str">
        <f>IF(Account!$F1065&lt;&gt;"", DATEVALUE(MID($A1065,4,3) &amp; LEFT($A1065,3) &amp; RIGHT($A1065,4)) + TIMEVALUE($B1065), "")</f>
        <v/>
      </c>
      <c r="P1065" s="34" t="str">
        <f>IF(Account!$F1065&lt;&gt;"", DATEVALUE(MID($C1065,4,3) &amp; LEFT($C1065,3) &amp; RIGHT($C1065,4)), "")</f>
        <v/>
      </c>
      <c r="Q1065" s="35" t="str">
        <f t="array" ref="Q1065">IF($R1065&lt;&gt;"",IFERROR(INDEX(ISIN!$B:$B,MATCH($R1065,ISIN!$C:$C,0))),)</f>
        <v/>
      </c>
      <c r="R1065" s="36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5" t="str">
        <f t="shared" si="1"/>
        <v/>
      </c>
      <c r="T1065" s="37" t="str">
        <f t="shared" si="2"/>
        <v/>
      </c>
      <c r="U1065" s="38" t="str">
        <f t="shared" si="3"/>
        <v/>
      </c>
      <c r="V1065" s="32" t="str">
        <f t="shared" si="4"/>
        <v/>
      </c>
      <c r="W1065" s="39" t="str">
        <f>IFERROR(__xludf.DUMMYFUNCTION(" IF(Account!$F1065&lt;&gt;"""", SPLIT(Account!$F1065, "" ""), """")"),"")</f>
        <v/>
      </c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</row>
    <row r="1066">
      <c r="A1066" s="12"/>
      <c r="B1066" s="12"/>
      <c r="C1066" s="12"/>
      <c r="D1066" s="291"/>
      <c r="E1066" s="291"/>
      <c r="F1066" s="13"/>
      <c r="G1066" s="291"/>
      <c r="H1066" s="12"/>
      <c r="I1066" s="12"/>
      <c r="J1066" s="12"/>
      <c r="K1066" s="12"/>
      <c r="L1066" s="335"/>
      <c r="M1066" s="30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2" t="str">
        <f>IFERROR(__xludf.DUMMYFUNCTION("IF(Account!$F1066&lt;&gt;"""", VALUE(REGEXREPLACE($I1066, ""\,"", ""."")), """")"),"")</f>
        <v/>
      </c>
      <c r="O1066" s="33" t="str">
        <f>IF(Account!$F1066&lt;&gt;"", DATEVALUE(MID($A1066,4,3) &amp; LEFT($A1066,3) &amp; RIGHT($A1066,4)) + TIMEVALUE($B1066), "")</f>
        <v/>
      </c>
      <c r="P1066" s="34" t="str">
        <f>IF(Account!$F1066&lt;&gt;"", DATEVALUE(MID($C1066,4,3) &amp; LEFT($C1066,3) &amp; RIGHT($C1066,4)), "")</f>
        <v/>
      </c>
      <c r="Q1066" s="35" t="str">
        <f t="array" ref="Q1066">IF($R1066&lt;&gt;"",IFERROR(INDEX(ISIN!$B:$B,MATCH($R1066,ISIN!$C:$C,0))),)</f>
        <v/>
      </c>
      <c r="R1066" s="36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5" t="str">
        <f t="shared" si="1"/>
        <v/>
      </c>
      <c r="T1066" s="37" t="str">
        <f t="shared" si="2"/>
        <v/>
      </c>
      <c r="U1066" s="38" t="str">
        <f t="shared" si="3"/>
        <v/>
      </c>
      <c r="V1066" s="32" t="str">
        <f t="shared" si="4"/>
        <v/>
      </c>
      <c r="W1066" s="39" t="str">
        <f>IFERROR(__xludf.DUMMYFUNCTION(" IF(Account!$F1066&lt;&gt;"""", SPLIT(Account!$F1066, "" ""), """")"),"")</f>
        <v/>
      </c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</row>
    <row r="1067">
      <c r="A1067" s="12"/>
      <c r="B1067" s="12"/>
      <c r="C1067" s="12"/>
      <c r="D1067" s="12"/>
      <c r="E1067" s="12"/>
      <c r="F1067" s="13"/>
      <c r="G1067" s="291"/>
      <c r="H1067" s="291"/>
      <c r="I1067" s="291"/>
      <c r="J1067" s="12"/>
      <c r="K1067" s="12"/>
      <c r="L1067" s="335"/>
      <c r="M1067" s="30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2" t="str">
        <f>IFERROR(__xludf.DUMMYFUNCTION("IF(Account!$F1067&lt;&gt;"""", VALUE(REGEXREPLACE($I1067, ""\,"", ""."")), """")"),"")</f>
        <v/>
      </c>
      <c r="O1067" s="33" t="str">
        <f>IF(Account!$F1067&lt;&gt;"", DATEVALUE(MID($A1067,4,3) &amp; LEFT($A1067,3) &amp; RIGHT($A1067,4)) + TIMEVALUE($B1067), "")</f>
        <v/>
      </c>
      <c r="P1067" s="34" t="str">
        <f>IF(Account!$F1067&lt;&gt;"", DATEVALUE(MID($C1067,4,3) &amp; LEFT($C1067,3) &amp; RIGHT($C1067,4)), "")</f>
        <v/>
      </c>
      <c r="Q1067" s="35" t="str">
        <f t="array" ref="Q1067">IF($R1067&lt;&gt;"",IFERROR(INDEX(ISIN!$B:$B,MATCH($R1067,ISIN!$C:$C,0))),)</f>
        <v/>
      </c>
      <c r="R1067" s="36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5" t="str">
        <f t="shared" si="1"/>
        <v/>
      </c>
      <c r="T1067" s="37" t="str">
        <f t="shared" si="2"/>
        <v/>
      </c>
      <c r="U1067" s="38" t="str">
        <f t="shared" si="3"/>
        <v/>
      </c>
      <c r="V1067" s="32" t="str">
        <f t="shared" si="4"/>
        <v/>
      </c>
      <c r="W1067" s="39" t="str">
        <f>IFERROR(__xludf.DUMMYFUNCTION(" IF(Account!$F1067&lt;&gt;"""", SPLIT(Account!$F1067, "" ""), """")"),"")</f>
        <v/>
      </c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</row>
    <row r="1068">
      <c r="A1068" s="12"/>
      <c r="B1068" s="12"/>
      <c r="C1068" s="12"/>
      <c r="D1068" s="12"/>
      <c r="E1068" s="12"/>
      <c r="F1068" s="13"/>
      <c r="G1068" s="291"/>
      <c r="H1068" s="12"/>
      <c r="I1068" s="12"/>
      <c r="J1068" s="12"/>
      <c r="K1068" s="12"/>
      <c r="L1068" s="335"/>
      <c r="M1068" s="30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2" t="str">
        <f>IFERROR(__xludf.DUMMYFUNCTION("IF(Account!$F1068&lt;&gt;"""", VALUE(REGEXREPLACE($I1068, ""\,"", ""."")), """")"),"")</f>
        <v/>
      </c>
      <c r="O1068" s="33" t="str">
        <f>IF(Account!$F1068&lt;&gt;"", DATEVALUE(MID($A1068,4,3) &amp; LEFT($A1068,3) &amp; RIGHT($A1068,4)) + TIMEVALUE($B1068), "")</f>
        <v/>
      </c>
      <c r="P1068" s="34" t="str">
        <f>IF(Account!$F1068&lt;&gt;"", DATEVALUE(MID($C1068,4,3) &amp; LEFT($C1068,3) &amp; RIGHT($C1068,4)), "")</f>
        <v/>
      </c>
      <c r="Q1068" s="35" t="str">
        <f t="array" ref="Q1068">IF($R1068&lt;&gt;"",IFERROR(INDEX(ISIN!$B:$B,MATCH($R1068,ISIN!$C:$C,0))),)</f>
        <v/>
      </c>
      <c r="R1068" s="36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5" t="str">
        <f t="shared" si="1"/>
        <v/>
      </c>
      <c r="T1068" s="37" t="str">
        <f t="shared" si="2"/>
        <v/>
      </c>
      <c r="U1068" s="38" t="str">
        <f t="shared" si="3"/>
        <v/>
      </c>
      <c r="V1068" s="32" t="str">
        <f t="shared" si="4"/>
        <v/>
      </c>
      <c r="W1068" s="39" t="str">
        <f>IFERROR(__xludf.DUMMYFUNCTION(" IF(Account!$F1068&lt;&gt;"""", SPLIT(Account!$F1068, "" ""), """")"),"")</f>
        <v/>
      </c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</row>
    <row r="1069">
      <c r="A1069" s="12"/>
      <c r="B1069" s="12"/>
      <c r="C1069" s="12"/>
      <c r="D1069" s="12"/>
      <c r="E1069" s="12"/>
      <c r="F1069" s="13"/>
      <c r="G1069" s="291"/>
      <c r="H1069" s="12"/>
      <c r="I1069" s="12"/>
      <c r="J1069" s="12"/>
      <c r="K1069" s="12"/>
      <c r="L1069" s="335"/>
      <c r="M1069" s="30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2" t="str">
        <f>IFERROR(__xludf.DUMMYFUNCTION("IF(Account!$F1069&lt;&gt;"""", VALUE(REGEXREPLACE($I1069, ""\,"", ""."")), """")"),"")</f>
        <v/>
      </c>
      <c r="O1069" s="33" t="str">
        <f>IF(Account!$F1069&lt;&gt;"", DATEVALUE(MID($A1069,4,3) &amp; LEFT($A1069,3) &amp; RIGHT($A1069,4)) + TIMEVALUE($B1069), "")</f>
        <v/>
      </c>
      <c r="P1069" s="34" t="str">
        <f>IF(Account!$F1069&lt;&gt;"", DATEVALUE(MID($C1069,4,3) &amp; LEFT($C1069,3) &amp; RIGHT($C1069,4)), "")</f>
        <v/>
      </c>
      <c r="Q1069" s="35" t="str">
        <f t="array" ref="Q1069">IF($R1069&lt;&gt;"",IFERROR(INDEX(ISIN!$B:$B,MATCH($R1069,ISIN!$C:$C,0))),)</f>
        <v/>
      </c>
      <c r="R1069" s="36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5" t="str">
        <f t="shared" si="1"/>
        <v/>
      </c>
      <c r="T1069" s="37" t="str">
        <f t="shared" si="2"/>
        <v/>
      </c>
      <c r="U1069" s="38" t="str">
        <f t="shared" si="3"/>
        <v/>
      </c>
      <c r="V1069" s="32" t="str">
        <f t="shared" si="4"/>
        <v/>
      </c>
      <c r="W1069" s="39" t="str">
        <f>IFERROR(__xludf.DUMMYFUNCTION(" IF(Account!$F1069&lt;&gt;"""", SPLIT(Account!$F1069, "" ""), """")"),"")</f>
        <v/>
      </c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</row>
    <row r="1070">
      <c r="A1070" s="12"/>
      <c r="B1070" s="12"/>
      <c r="C1070" s="12"/>
      <c r="D1070" s="12"/>
      <c r="E1070" s="12"/>
      <c r="F1070" s="13"/>
      <c r="G1070" s="12"/>
      <c r="H1070" s="12"/>
      <c r="I1070" s="12"/>
      <c r="J1070" s="12"/>
      <c r="K1070" s="12"/>
      <c r="L1070" s="13"/>
      <c r="M1070" s="30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2" t="str">
        <f>IFERROR(__xludf.DUMMYFUNCTION("IF(Account!$F1070&lt;&gt;"""", VALUE(REGEXREPLACE($I1070, ""\,"", ""."")), """")"),"")</f>
        <v/>
      </c>
      <c r="O1070" s="33" t="str">
        <f>IF(Account!$F1070&lt;&gt;"", DATEVALUE(MID($A1070,4,3) &amp; LEFT($A1070,3) &amp; RIGHT($A1070,4)) + TIMEVALUE($B1070), "")</f>
        <v/>
      </c>
      <c r="P1070" s="34" t="str">
        <f>IF(Account!$F1070&lt;&gt;"", DATEVALUE(MID($C1070,4,3) &amp; LEFT($C1070,3) &amp; RIGHT($C1070,4)), "")</f>
        <v/>
      </c>
      <c r="Q1070" s="35" t="str">
        <f t="array" ref="Q1070">IF($R1070&lt;&gt;"",IFERROR(INDEX(ISIN!$B:$B,MATCH($R1070,ISIN!$C:$C,0))),)</f>
        <v/>
      </c>
      <c r="R1070" s="36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5" t="str">
        <f t="shared" si="1"/>
        <v/>
      </c>
      <c r="T1070" s="37" t="str">
        <f t="shared" si="2"/>
        <v/>
      </c>
      <c r="U1070" s="38" t="str">
        <f t="shared" si="3"/>
        <v/>
      </c>
      <c r="V1070" s="32" t="str">
        <f t="shared" si="4"/>
        <v/>
      </c>
      <c r="W1070" s="39" t="str">
        <f>IFERROR(__xludf.DUMMYFUNCTION(" IF(Account!$F1070&lt;&gt;"""", SPLIT(Account!$F1070, "" ""), """")"),"")</f>
        <v/>
      </c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</row>
    <row r="1071">
      <c r="A1071" s="12"/>
      <c r="B1071" s="12"/>
      <c r="C1071" s="12"/>
      <c r="D1071" s="12"/>
      <c r="E1071" s="12"/>
      <c r="F1071" s="13"/>
      <c r="G1071" s="291"/>
      <c r="H1071" s="12"/>
      <c r="I1071" s="12"/>
      <c r="J1071" s="12"/>
      <c r="K1071" s="12"/>
      <c r="L1071" s="13"/>
      <c r="M1071" s="30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2" t="str">
        <f>IFERROR(__xludf.DUMMYFUNCTION("IF(Account!$F1071&lt;&gt;"""", VALUE(REGEXREPLACE($I1071, ""\,"", ""."")), """")"),"")</f>
        <v/>
      </c>
      <c r="O1071" s="33" t="str">
        <f>IF(Account!$F1071&lt;&gt;"", DATEVALUE(MID($A1071,4,3) &amp; LEFT($A1071,3) &amp; RIGHT($A1071,4)) + TIMEVALUE($B1071), "")</f>
        <v/>
      </c>
      <c r="P1071" s="34" t="str">
        <f>IF(Account!$F1071&lt;&gt;"", DATEVALUE(MID($C1071,4,3) &amp; LEFT($C1071,3) &amp; RIGHT($C1071,4)), "")</f>
        <v/>
      </c>
      <c r="Q1071" s="35" t="str">
        <f t="array" ref="Q1071">IF($R1071&lt;&gt;"",IFERROR(INDEX(ISIN!$B:$B,MATCH($R1071,ISIN!$C:$C,0))),)</f>
        <v/>
      </c>
      <c r="R1071" s="36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5" t="str">
        <f t="shared" si="1"/>
        <v/>
      </c>
      <c r="T1071" s="37" t="str">
        <f t="shared" si="2"/>
        <v/>
      </c>
      <c r="U1071" s="38" t="str">
        <f t="shared" si="3"/>
        <v/>
      </c>
      <c r="V1071" s="32" t="str">
        <f t="shared" si="4"/>
        <v/>
      </c>
      <c r="W1071" s="39" t="str">
        <f>IFERROR(__xludf.DUMMYFUNCTION(" IF(Account!$F1071&lt;&gt;"""", SPLIT(Account!$F1071, "" ""), """")"),"")</f>
        <v/>
      </c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</row>
    <row r="1072">
      <c r="A1072" s="12"/>
      <c r="B1072" s="12"/>
      <c r="C1072" s="12"/>
      <c r="D1072" s="12"/>
      <c r="E1072" s="12"/>
      <c r="F1072" s="13"/>
      <c r="G1072" s="12"/>
      <c r="H1072" s="12"/>
      <c r="I1072" s="12"/>
      <c r="J1072" s="12"/>
      <c r="K1072" s="12"/>
      <c r="L1072" s="13"/>
      <c r="M1072" s="30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2" t="str">
        <f>IFERROR(__xludf.DUMMYFUNCTION("IF(Account!$F1072&lt;&gt;"""", VALUE(REGEXREPLACE($I1072, ""\,"", ""."")), """")"),"")</f>
        <v/>
      </c>
      <c r="O1072" s="33" t="str">
        <f>IF(Account!$F1072&lt;&gt;"", DATEVALUE(MID($A1072,4,3) &amp; LEFT($A1072,3) &amp; RIGHT($A1072,4)) + TIMEVALUE($B1072), "")</f>
        <v/>
      </c>
      <c r="P1072" s="34" t="str">
        <f>IF(Account!$F1072&lt;&gt;"", DATEVALUE(MID($C1072,4,3) &amp; LEFT($C1072,3) &amp; RIGHT($C1072,4)), "")</f>
        <v/>
      </c>
      <c r="Q1072" s="35" t="str">
        <f t="array" ref="Q1072">IF($R1072&lt;&gt;"",IFERROR(INDEX(ISIN!$B:$B,MATCH($R1072,ISIN!$C:$C,0))),)</f>
        <v/>
      </c>
      <c r="R1072" s="36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5" t="str">
        <f t="shared" si="1"/>
        <v/>
      </c>
      <c r="T1072" s="37" t="str">
        <f t="shared" si="2"/>
        <v/>
      </c>
      <c r="U1072" s="38" t="str">
        <f t="shared" si="3"/>
        <v/>
      </c>
      <c r="V1072" s="32" t="str">
        <f t="shared" si="4"/>
        <v/>
      </c>
      <c r="W1072" s="39" t="str">
        <f>IFERROR(__xludf.DUMMYFUNCTION(" IF(Account!$F1072&lt;&gt;"""", SPLIT(Account!$F1072, "" ""), """")"),"")</f>
        <v/>
      </c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</row>
    <row r="1073">
      <c r="A1073" s="12"/>
      <c r="B1073" s="12"/>
      <c r="C1073" s="12"/>
      <c r="D1073" s="12"/>
      <c r="E1073" s="12"/>
      <c r="F1073" s="13"/>
      <c r="G1073" s="291"/>
      <c r="H1073" s="12"/>
      <c r="I1073" s="12"/>
      <c r="J1073" s="12"/>
      <c r="K1073" s="12"/>
      <c r="L1073" s="13"/>
      <c r="M1073" s="30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2" t="str">
        <f>IFERROR(__xludf.DUMMYFUNCTION("IF(Account!$F1073&lt;&gt;"""", VALUE(REGEXREPLACE($I1073, ""\,"", ""."")), """")"),"")</f>
        <v/>
      </c>
      <c r="O1073" s="33" t="str">
        <f>IF(Account!$F1073&lt;&gt;"", DATEVALUE(MID($A1073,4,3) &amp; LEFT($A1073,3) &amp; RIGHT($A1073,4)) + TIMEVALUE($B1073), "")</f>
        <v/>
      </c>
      <c r="P1073" s="34" t="str">
        <f>IF(Account!$F1073&lt;&gt;"", DATEVALUE(MID($C1073,4,3) &amp; LEFT($C1073,3) &amp; RIGHT($C1073,4)), "")</f>
        <v/>
      </c>
      <c r="Q1073" s="35" t="str">
        <f t="array" ref="Q1073">IF($R1073&lt;&gt;"",IFERROR(INDEX(ISIN!$B:$B,MATCH($R1073,ISIN!$C:$C,0))),)</f>
        <v/>
      </c>
      <c r="R1073" s="36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5" t="str">
        <f t="shared" si="1"/>
        <v/>
      </c>
      <c r="T1073" s="37" t="str">
        <f t="shared" si="2"/>
        <v/>
      </c>
      <c r="U1073" s="38" t="str">
        <f t="shared" si="3"/>
        <v/>
      </c>
      <c r="V1073" s="32" t="str">
        <f t="shared" si="4"/>
        <v/>
      </c>
      <c r="W1073" s="39" t="str">
        <f>IFERROR(__xludf.DUMMYFUNCTION(" IF(Account!$F1073&lt;&gt;"""", SPLIT(Account!$F1073, "" ""), """")"),"")</f>
        <v/>
      </c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</row>
    <row r="1074">
      <c r="A1074" s="12"/>
      <c r="B1074" s="12"/>
      <c r="C1074" s="12"/>
      <c r="D1074" s="12"/>
      <c r="E1074" s="12"/>
      <c r="F1074" s="13"/>
      <c r="G1074" s="12"/>
      <c r="H1074" s="12"/>
      <c r="I1074" s="12"/>
      <c r="J1074" s="12"/>
      <c r="K1074" s="12"/>
      <c r="L1074" s="13"/>
      <c r="M1074" s="30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2" t="str">
        <f>IFERROR(__xludf.DUMMYFUNCTION("IF(Account!$F1074&lt;&gt;"""", VALUE(REGEXREPLACE($I1074, ""\,"", ""."")), """")"),"")</f>
        <v/>
      </c>
      <c r="O1074" s="33" t="str">
        <f>IF(Account!$F1074&lt;&gt;"", DATEVALUE(MID($A1074,4,3) &amp; LEFT($A1074,3) &amp; RIGHT($A1074,4)) + TIMEVALUE($B1074), "")</f>
        <v/>
      </c>
      <c r="P1074" s="34" t="str">
        <f>IF(Account!$F1074&lt;&gt;"", DATEVALUE(MID($C1074,4,3) &amp; LEFT($C1074,3) &amp; RIGHT($C1074,4)), "")</f>
        <v/>
      </c>
      <c r="Q1074" s="35" t="str">
        <f t="array" ref="Q1074">IF($R1074&lt;&gt;"",IFERROR(INDEX(ISIN!$B:$B,MATCH($R1074,ISIN!$C:$C,0))),)</f>
        <v/>
      </c>
      <c r="R1074" s="36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5" t="str">
        <f t="shared" si="1"/>
        <v/>
      </c>
      <c r="T1074" s="37" t="str">
        <f t="shared" si="2"/>
        <v/>
      </c>
      <c r="U1074" s="38" t="str">
        <f t="shared" si="3"/>
        <v/>
      </c>
      <c r="V1074" s="32" t="str">
        <f t="shared" si="4"/>
        <v/>
      </c>
      <c r="W1074" s="39" t="str">
        <f>IFERROR(__xludf.DUMMYFUNCTION(" IF(Account!$F1074&lt;&gt;"""", SPLIT(Account!$F1074, "" ""), """")"),"")</f>
        <v/>
      </c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</row>
    <row r="1075">
      <c r="A1075" s="12"/>
      <c r="B1075" s="12"/>
      <c r="C1075" s="12"/>
      <c r="D1075" s="12"/>
      <c r="E1075" s="12"/>
      <c r="F1075" s="13"/>
      <c r="G1075" s="291"/>
      <c r="H1075" s="12"/>
      <c r="I1075" s="12"/>
      <c r="J1075" s="12"/>
      <c r="K1075" s="12"/>
      <c r="L1075" s="13"/>
      <c r="M1075" s="30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2" t="str">
        <f>IFERROR(__xludf.DUMMYFUNCTION("IF(Account!$F1075&lt;&gt;"""", VALUE(REGEXREPLACE($I1075, ""\,"", ""."")), """")"),"")</f>
        <v/>
      </c>
      <c r="O1075" s="33" t="str">
        <f>IF(Account!$F1075&lt;&gt;"", DATEVALUE(MID($A1075,4,3) &amp; LEFT($A1075,3) &amp; RIGHT($A1075,4)) + TIMEVALUE($B1075), "")</f>
        <v/>
      </c>
      <c r="P1075" s="34" t="str">
        <f>IF(Account!$F1075&lt;&gt;"", DATEVALUE(MID($C1075,4,3) &amp; LEFT($C1075,3) &amp; RIGHT($C1075,4)), "")</f>
        <v/>
      </c>
      <c r="Q1075" s="35" t="str">
        <f t="array" ref="Q1075">IF($R1075&lt;&gt;"",IFERROR(INDEX(ISIN!$B:$B,MATCH($R1075,ISIN!$C:$C,0))),)</f>
        <v/>
      </c>
      <c r="R1075" s="36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5" t="str">
        <f t="shared" si="1"/>
        <v/>
      </c>
      <c r="T1075" s="37" t="str">
        <f t="shared" si="2"/>
        <v/>
      </c>
      <c r="U1075" s="38" t="str">
        <f t="shared" si="3"/>
        <v/>
      </c>
      <c r="V1075" s="32" t="str">
        <f t="shared" si="4"/>
        <v/>
      </c>
      <c r="W1075" s="39" t="str">
        <f>IFERROR(__xludf.DUMMYFUNCTION(" IF(Account!$F1075&lt;&gt;"""", SPLIT(Account!$F1075, "" ""), """")"),"")</f>
        <v/>
      </c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</row>
    <row r="1076">
      <c r="A1076" s="12"/>
      <c r="B1076" s="12"/>
      <c r="C1076" s="12"/>
      <c r="D1076" s="12"/>
      <c r="E1076" s="12"/>
      <c r="F1076" s="13"/>
      <c r="G1076" s="291"/>
      <c r="H1076" s="12"/>
      <c r="I1076" s="12"/>
      <c r="J1076" s="12"/>
      <c r="K1076" s="12"/>
      <c r="L1076" s="13"/>
      <c r="M1076" s="30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2" t="str">
        <f>IFERROR(__xludf.DUMMYFUNCTION("IF(Account!$F1076&lt;&gt;"""", VALUE(REGEXREPLACE($I1076, ""\,"", ""."")), """")"),"")</f>
        <v/>
      </c>
      <c r="O1076" s="33" t="str">
        <f>IF(Account!$F1076&lt;&gt;"", DATEVALUE(MID($A1076,4,3) &amp; LEFT($A1076,3) &amp; RIGHT($A1076,4)) + TIMEVALUE($B1076), "")</f>
        <v/>
      </c>
      <c r="P1076" s="34" t="str">
        <f>IF(Account!$F1076&lt;&gt;"", DATEVALUE(MID($C1076,4,3) &amp; LEFT($C1076,3) &amp; RIGHT($C1076,4)), "")</f>
        <v/>
      </c>
      <c r="Q1076" s="35" t="str">
        <f t="array" ref="Q1076">IF($R1076&lt;&gt;"",IFERROR(INDEX(ISIN!$B:$B,MATCH($R1076,ISIN!$C:$C,0))),)</f>
        <v/>
      </c>
      <c r="R1076" s="36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5" t="str">
        <f t="shared" si="1"/>
        <v/>
      </c>
      <c r="T1076" s="37" t="str">
        <f t="shared" si="2"/>
        <v/>
      </c>
      <c r="U1076" s="38" t="str">
        <f t="shared" si="3"/>
        <v/>
      </c>
      <c r="V1076" s="32" t="str">
        <f t="shared" si="4"/>
        <v/>
      </c>
      <c r="W1076" s="39" t="str">
        <f>IFERROR(__xludf.DUMMYFUNCTION(" IF(Account!$F1076&lt;&gt;"""", SPLIT(Account!$F1076, "" ""), """")"),"")</f>
        <v/>
      </c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</row>
    <row r="1077">
      <c r="A1077" s="12"/>
      <c r="B1077" s="12"/>
      <c r="C1077" s="12"/>
      <c r="D1077" s="12"/>
      <c r="E1077" s="12"/>
      <c r="F1077" s="13"/>
      <c r="G1077" s="291"/>
      <c r="H1077" s="12"/>
      <c r="I1077" s="12"/>
      <c r="J1077" s="12"/>
      <c r="K1077" s="12"/>
      <c r="L1077" s="13"/>
      <c r="M1077" s="30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2" t="str">
        <f>IFERROR(__xludf.DUMMYFUNCTION("IF(Account!$F1077&lt;&gt;"""", VALUE(REGEXREPLACE($I1077, ""\,"", ""."")), """")"),"")</f>
        <v/>
      </c>
      <c r="O1077" s="33" t="str">
        <f>IF(Account!$F1077&lt;&gt;"", DATEVALUE(MID($A1077,4,3) &amp; LEFT($A1077,3) &amp; RIGHT($A1077,4)) + TIMEVALUE($B1077), "")</f>
        <v/>
      </c>
      <c r="P1077" s="34" t="str">
        <f>IF(Account!$F1077&lt;&gt;"", DATEVALUE(MID($C1077,4,3) &amp; LEFT($C1077,3) &amp; RIGHT($C1077,4)), "")</f>
        <v/>
      </c>
      <c r="Q1077" s="35" t="str">
        <f t="array" ref="Q1077">IF($R1077&lt;&gt;"",IFERROR(INDEX(ISIN!$B:$B,MATCH($R1077,ISIN!$C:$C,0))),)</f>
        <v/>
      </c>
      <c r="R1077" s="36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5" t="str">
        <f t="shared" si="1"/>
        <v/>
      </c>
      <c r="T1077" s="37" t="str">
        <f t="shared" si="2"/>
        <v/>
      </c>
      <c r="U1077" s="38" t="str">
        <f t="shared" si="3"/>
        <v/>
      </c>
      <c r="V1077" s="32" t="str">
        <f t="shared" si="4"/>
        <v/>
      </c>
      <c r="W1077" s="39" t="str">
        <f>IFERROR(__xludf.DUMMYFUNCTION(" IF(Account!$F1077&lt;&gt;"""", SPLIT(Account!$F1077, "" ""), """")"),"")</f>
        <v/>
      </c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</row>
    <row r="1078">
      <c r="A1078" s="12"/>
      <c r="B1078" s="12"/>
      <c r="C1078" s="12"/>
      <c r="D1078" s="12"/>
      <c r="E1078" s="12"/>
      <c r="F1078" s="13"/>
      <c r="G1078" s="291"/>
      <c r="H1078" s="12"/>
      <c r="I1078" s="12"/>
      <c r="J1078" s="12"/>
      <c r="K1078" s="12"/>
      <c r="L1078" s="13"/>
      <c r="M1078" s="30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2" t="str">
        <f>IFERROR(__xludf.DUMMYFUNCTION("IF(Account!$F1078&lt;&gt;"""", VALUE(REGEXREPLACE($I1078, ""\,"", ""."")), """")"),"")</f>
        <v/>
      </c>
      <c r="O1078" s="33" t="str">
        <f>IF(Account!$F1078&lt;&gt;"", DATEVALUE(MID($A1078,4,3) &amp; LEFT($A1078,3) &amp; RIGHT($A1078,4)) + TIMEVALUE($B1078), "")</f>
        <v/>
      </c>
      <c r="P1078" s="34" t="str">
        <f>IF(Account!$F1078&lt;&gt;"", DATEVALUE(MID($C1078,4,3) &amp; LEFT($C1078,3) &amp; RIGHT($C1078,4)), "")</f>
        <v/>
      </c>
      <c r="Q1078" s="35" t="str">
        <f t="array" ref="Q1078">IF($R1078&lt;&gt;"",IFERROR(INDEX(ISIN!$B:$B,MATCH($R1078,ISIN!$C:$C,0))),)</f>
        <v/>
      </c>
      <c r="R1078" s="36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5" t="str">
        <f t="shared" si="1"/>
        <v/>
      </c>
      <c r="T1078" s="37" t="str">
        <f t="shared" si="2"/>
        <v/>
      </c>
      <c r="U1078" s="38" t="str">
        <f t="shared" si="3"/>
        <v/>
      </c>
      <c r="V1078" s="32" t="str">
        <f t="shared" si="4"/>
        <v/>
      </c>
      <c r="W1078" s="39" t="str">
        <f>IFERROR(__xludf.DUMMYFUNCTION(" IF(Account!$F1078&lt;&gt;"""", SPLIT(Account!$F1078, "" ""), """")"),"")</f>
        <v/>
      </c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</row>
    <row r="1079">
      <c r="A1079" s="12"/>
      <c r="B1079" s="12"/>
      <c r="C1079" s="12"/>
      <c r="D1079" s="12"/>
      <c r="E1079" s="12"/>
      <c r="F1079" s="13"/>
      <c r="G1079" s="12"/>
      <c r="H1079" s="12"/>
      <c r="I1079" s="12"/>
      <c r="J1079" s="12"/>
      <c r="K1079" s="12"/>
      <c r="L1079" s="13"/>
      <c r="M1079" s="30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2" t="str">
        <f>IFERROR(__xludf.DUMMYFUNCTION("IF(Account!$F1079&lt;&gt;"""", VALUE(REGEXREPLACE($I1079, ""\,"", ""."")), """")"),"")</f>
        <v/>
      </c>
      <c r="O1079" s="33" t="str">
        <f>IF(Account!$F1079&lt;&gt;"", DATEVALUE(MID($A1079,4,3) &amp; LEFT($A1079,3) &amp; RIGHT($A1079,4)) + TIMEVALUE($B1079), "")</f>
        <v/>
      </c>
      <c r="P1079" s="34" t="str">
        <f>IF(Account!$F1079&lt;&gt;"", DATEVALUE(MID($C1079,4,3) &amp; LEFT($C1079,3) &amp; RIGHT($C1079,4)), "")</f>
        <v/>
      </c>
      <c r="Q1079" s="35" t="str">
        <f t="array" ref="Q1079">IF($R1079&lt;&gt;"",IFERROR(INDEX(ISIN!$B:$B,MATCH($R1079,ISIN!$C:$C,0))),)</f>
        <v/>
      </c>
      <c r="R1079" s="36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5" t="str">
        <f t="shared" si="1"/>
        <v/>
      </c>
      <c r="T1079" s="37" t="str">
        <f t="shared" si="2"/>
        <v/>
      </c>
      <c r="U1079" s="38" t="str">
        <f t="shared" si="3"/>
        <v/>
      </c>
      <c r="V1079" s="32" t="str">
        <f t="shared" si="4"/>
        <v/>
      </c>
      <c r="W1079" s="39" t="str">
        <f>IFERROR(__xludf.DUMMYFUNCTION(" IF(Account!$F1079&lt;&gt;"""", SPLIT(Account!$F1079, "" ""), """")"),"")</f>
        <v/>
      </c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</row>
    <row r="1080">
      <c r="A1080" s="12"/>
      <c r="B1080" s="12"/>
      <c r="C1080" s="12"/>
      <c r="D1080" s="12"/>
      <c r="E1080" s="12"/>
      <c r="F1080" s="13"/>
      <c r="G1080" s="291"/>
      <c r="H1080" s="12"/>
      <c r="I1080" s="12"/>
      <c r="J1080" s="12"/>
      <c r="K1080" s="12"/>
      <c r="L1080" s="13"/>
      <c r="M1080" s="30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2" t="str">
        <f>IFERROR(__xludf.DUMMYFUNCTION("IF(Account!$F1080&lt;&gt;"""", VALUE(REGEXREPLACE($I1080, ""\,"", ""."")), """")"),"")</f>
        <v/>
      </c>
      <c r="O1080" s="33" t="str">
        <f>IF(Account!$F1080&lt;&gt;"", DATEVALUE(MID($A1080,4,3) &amp; LEFT($A1080,3) &amp; RIGHT($A1080,4)) + TIMEVALUE($B1080), "")</f>
        <v/>
      </c>
      <c r="P1080" s="34" t="str">
        <f>IF(Account!$F1080&lt;&gt;"", DATEVALUE(MID($C1080,4,3) &amp; LEFT($C1080,3) &amp; RIGHT($C1080,4)), "")</f>
        <v/>
      </c>
      <c r="Q1080" s="35" t="str">
        <f t="array" ref="Q1080">IF($R1080&lt;&gt;"",IFERROR(INDEX(ISIN!$B:$B,MATCH($R1080,ISIN!$C:$C,0))),)</f>
        <v/>
      </c>
      <c r="R1080" s="36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5" t="str">
        <f t="shared" si="1"/>
        <v/>
      </c>
      <c r="T1080" s="37" t="str">
        <f t="shared" si="2"/>
        <v/>
      </c>
      <c r="U1080" s="38" t="str">
        <f t="shared" si="3"/>
        <v/>
      </c>
      <c r="V1080" s="32" t="str">
        <f t="shared" si="4"/>
        <v/>
      </c>
      <c r="W1080" s="39" t="str">
        <f>IFERROR(__xludf.DUMMYFUNCTION(" IF(Account!$F1080&lt;&gt;"""", SPLIT(Account!$F1080, "" ""), """")"),"")</f>
        <v/>
      </c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</row>
    <row r="1081">
      <c r="A1081" s="12"/>
      <c r="B1081" s="12"/>
      <c r="C1081" s="12"/>
      <c r="D1081" s="12"/>
      <c r="E1081" s="12"/>
      <c r="F1081" s="13"/>
      <c r="G1081" s="12"/>
      <c r="H1081" s="12"/>
      <c r="I1081" s="12"/>
      <c r="J1081" s="12"/>
      <c r="K1081" s="12"/>
      <c r="L1081" s="13"/>
      <c r="M1081" s="30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2" t="str">
        <f>IFERROR(__xludf.DUMMYFUNCTION("IF(Account!$F1081&lt;&gt;"""", VALUE(REGEXREPLACE($I1081, ""\,"", ""."")), """")"),"")</f>
        <v/>
      </c>
      <c r="O1081" s="33" t="str">
        <f>IF(Account!$F1081&lt;&gt;"", DATEVALUE(MID($A1081,4,3) &amp; LEFT($A1081,3) &amp; RIGHT($A1081,4)) + TIMEVALUE($B1081), "")</f>
        <v/>
      </c>
      <c r="P1081" s="34" t="str">
        <f>IF(Account!$F1081&lt;&gt;"", DATEVALUE(MID($C1081,4,3) &amp; LEFT($C1081,3) &amp; RIGHT($C1081,4)), "")</f>
        <v/>
      </c>
      <c r="Q1081" s="35" t="str">
        <f t="array" ref="Q1081">IF($R1081&lt;&gt;"",IFERROR(INDEX(ISIN!$B:$B,MATCH($R1081,ISIN!$C:$C,0))),)</f>
        <v/>
      </c>
      <c r="R1081" s="36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5" t="str">
        <f t="shared" si="1"/>
        <v/>
      </c>
      <c r="T1081" s="37" t="str">
        <f t="shared" si="2"/>
        <v/>
      </c>
      <c r="U1081" s="38" t="str">
        <f t="shared" si="3"/>
        <v/>
      </c>
      <c r="V1081" s="32" t="str">
        <f t="shared" si="4"/>
        <v/>
      </c>
      <c r="W1081" s="39" t="str">
        <f>IFERROR(__xludf.DUMMYFUNCTION(" IF(Account!$F1081&lt;&gt;"""", SPLIT(Account!$F1081, "" ""), """")"),"")</f>
        <v/>
      </c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</row>
    <row r="1082">
      <c r="A1082" s="12"/>
      <c r="B1082" s="12"/>
      <c r="C1082" s="12"/>
      <c r="D1082" s="12"/>
      <c r="E1082" s="12"/>
      <c r="F1082" s="13"/>
      <c r="G1082" s="291"/>
      <c r="H1082" s="12"/>
      <c r="I1082" s="12"/>
      <c r="J1082" s="12"/>
      <c r="K1082" s="12"/>
      <c r="L1082" s="13"/>
      <c r="M1082" s="30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2" t="str">
        <f>IFERROR(__xludf.DUMMYFUNCTION("IF(Account!$F1082&lt;&gt;"""", VALUE(REGEXREPLACE($I1082, ""\,"", ""."")), """")"),"")</f>
        <v/>
      </c>
      <c r="O1082" s="33" t="str">
        <f>IF(Account!$F1082&lt;&gt;"", DATEVALUE(MID($A1082,4,3) &amp; LEFT($A1082,3) &amp; RIGHT($A1082,4)) + TIMEVALUE($B1082), "")</f>
        <v/>
      </c>
      <c r="P1082" s="34" t="str">
        <f>IF(Account!$F1082&lt;&gt;"", DATEVALUE(MID($C1082,4,3) &amp; LEFT($C1082,3) &amp; RIGHT($C1082,4)), "")</f>
        <v/>
      </c>
      <c r="Q1082" s="35" t="str">
        <f t="array" ref="Q1082">IF($R1082&lt;&gt;"",IFERROR(INDEX(ISIN!$B:$B,MATCH($R1082,ISIN!$C:$C,0))),)</f>
        <v/>
      </c>
      <c r="R1082" s="36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5" t="str">
        <f t="shared" si="1"/>
        <v/>
      </c>
      <c r="T1082" s="37" t="str">
        <f t="shared" si="2"/>
        <v/>
      </c>
      <c r="U1082" s="38" t="str">
        <f t="shared" si="3"/>
        <v/>
      </c>
      <c r="V1082" s="32" t="str">
        <f t="shared" si="4"/>
        <v/>
      </c>
      <c r="W1082" s="39" t="str">
        <f>IFERROR(__xludf.DUMMYFUNCTION(" IF(Account!$F1082&lt;&gt;"""", SPLIT(Account!$F1082, "" ""), """")"),"")</f>
        <v/>
      </c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</row>
    <row r="1083">
      <c r="A1083" s="12"/>
      <c r="B1083" s="12"/>
      <c r="C1083" s="12"/>
      <c r="D1083" s="12"/>
      <c r="E1083" s="12"/>
      <c r="F1083" s="13"/>
      <c r="G1083" s="291"/>
      <c r="H1083" s="12"/>
      <c r="I1083" s="12"/>
      <c r="J1083" s="12"/>
      <c r="K1083" s="12"/>
      <c r="L1083" s="13"/>
      <c r="M1083" s="30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2" t="str">
        <f>IFERROR(__xludf.DUMMYFUNCTION("IF(Account!$F1083&lt;&gt;"""", VALUE(REGEXREPLACE($I1083, ""\,"", ""."")), """")"),"")</f>
        <v/>
      </c>
      <c r="O1083" s="33" t="str">
        <f>IF(Account!$F1083&lt;&gt;"", DATEVALUE(MID($A1083,4,3) &amp; LEFT($A1083,3) &amp; RIGHT($A1083,4)) + TIMEVALUE($B1083), "")</f>
        <v/>
      </c>
      <c r="P1083" s="34" t="str">
        <f>IF(Account!$F1083&lt;&gt;"", DATEVALUE(MID($C1083,4,3) &amp; LEFT($C1083,3) &amp; RIGHT($C1083,4)), "")</f>
        <v/>
      </c>
      <c r="Q1083" s="35" t="str">
        <f t="array" ref="Q1083">IF($R1083&lt;&gt;"",IFERROR(INDEX(ISIN!$B:$B,MATCH($R1083,ISIN!$C:$C,0))),)</f>
        <v/>
      </c>
      <c r="R1083" s="36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5" t="str">
        <f t="shared" si="1"/>
        <v/>
      </c>
      <c r="T1083" s="37" t="str">
        <f t="shared" si="2"/>
        <v/>
      </c>
      <c r="U1083" s="38" t="str">
        <f t="shared" si="3"/>
        <v/>
      </c>
      <c r="V1083" s="32" t="str">
        <f t="shared" si="4"/>
        <v/>
      </c>
      <c r="W1083" s="39" t="str">
        <f>IFERROR(__xludf.DUMMYFUNCTION(" IF(Account!$F1083&lt;&gt;"""", SPLIT(Account!$F1083, "" ""), """")"),"")</f>
        <v/>
      </c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</row>
    <row r="1084">
      <c r="A1084" s="12"/>
      <c r="B1084" s="12"/>
      <c r="C1084" s="12"/>
      <c r="D1084" s="12"/>
      <c r="E1084" s="12"/>
      <c r="F1084" s="13"/>
      <c r="G1084" s="291"/>
      <c r="H1084" s="12"/>
      <c r="I1084" s="12"/>
      <c r="J1084" s="12"/>
      <c r="K1084" s="12"/>
      <c r="L1084" s="13"/>
      <c r="M1084" s="30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2" t="str">
        <f>IFERROR(__xludf.DUMMYFUNCTION("IF(Account!$F1084&lt;&gt;"""", VALUE(REGEXREPLACE($I1084, ""\,"", ""."")), """")"),"")</f>
        <v/>
      </c>
      <c r="O1084" s="33" t="str">
        <f>IF(Account!$F1084&lt;&gt;"", DATEVALUE(MID($A1084,4,3) &amp; LEFT($A1084,3) &amp; RIGHT($A1084,4)) + TIMEVALUE($B1084), "")</f>
        <v/>
      </c>
      <c r="P1084" s="34" t="str">
        <f>IF(Account!$F1084&lt;&gt;"", DATEVALUE(MID($C1084,4,3) &amp; LEFT($C1084,3) &amp; RIGHT($C1084,4)), "")</f>
        <v/>
      </c>
      <c r="Q1084" s="35" t="str">
        <f t="array" ref="Q1084">IF($R1084&lt;&gt;"",IFERROR(INDEX(ISIN!$B:$B,MATCH($R1084,ISIN!$C:$C,0))),)</f>
        <v/>
      </c>
      <c r="R1084" s="36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5" t="str">
        <f t="shared" si="1"/>
        <v/>
      </c>
      <c r="T1084" s="37" t="str">
        <f t="shared" si="2"/>
        <v/>
      </c>
      <c r="U1084" s="38" t="str">
        <f t="shared" si="3"/>
        <v/>
      </c>
      <c r="V1084" s="32" t="str">
        <f t="shared" si="4"/>
        <v/>
      </c>
      <c r="W1084" s="39" t="str">
        <f>IFERROR(__xludf.DUMMYFUNCTION(" IF(Account!$F1084&lt;&gt;"""", SPLIT(Account!$F1084, "" ""), """")"),"")</f>
        <v/>
      </c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</row>
    <row r="1085">
      <c r="A1085" s="12"/>
      <c r="B1085" s="12"/>
      <c r="C1085" s="12"/>
      <c r="D1085" s="12"/>
      <c r="E1085" s="12"/>
      <c r="F1085" s="13"/>
      <c r="G1085" s="12"/>
      <c r="H1085" s="12"/>
      <c r="I1085" s="12"/>
      <c r="J1085" s="12"/>
      <c r="K1085" s="12"/>
      <c r="L1085" s="13"/>
      <c r="M1085" s="30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2" t="str">
        <f>IFERROR(__xludf.DUMMYFUNCTION("IF(Account!$F1085&lt;&gt;"""", VALUE(REGEXREPLACE($I1085, ""\,"", ""."")), """")"),"")</f>
        <v/>
      </c>
      <c r="O1085" s="33" t="str">
        <f>IF(Account!$F1085&lt;&gt;"", DATEVALUE(MID($A1085,4,3) &amp; LEFT($A1085,3) &amp; RIGHT($A1085,4)) + TIMEVALUE($B1085), "")</f>
        <v/>
      </c>
      <c r="P1085" s="34" t="str">
        <f>IF(Account!$F1085&lt;&gt;"", DATEVALUE(MID($C1085,4,3) &amp; LEFT($C1085,3) &amp; RIGHT($C1085,4)), "")</f>
        <v/>
      </c>
      <c r="Q1085" s="35" t="str">
        <f t="array" ref="Q1085">IF($R1085&lt;&gt;"",IFERROR(INDEX(ISIN!$B:$B,MATCH($R1085,ISIN!$C:$C,0))),)</f>
        <v/>
      </c>
      <c r="R1085" s="36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5" t="str">
        <f t="shared" si="1"/>
        <v/>
      </c>
      <c r="T1085" s="37" t="str">
        <f t="shared" si="2"/>
        <v/>
      </c>
      <c r="U1085" s="38" t="str">
        <f t="shared" si="3"/>
        <v/>
      </c>
      <c r="V1085" s="32" t="str">
        <f t="shared" si="4"/>
        <v/>
      </c>
      <c r="W1085" s="39" t="str">
        <f>IFERROR(__xludf.DUMMYFUNCTION(" IF(Account!$F1085&lt;&gt;"""", SPLIT(Account!$F1085, "" ""), """")"),"")</f>
        <v/>
      </c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</row>
    <row r="1086">
      <c r="A1086" s="12"/>
      <c r="B1086" s="12"/>
      <c r="C1086" s="12"/>
      <c r="D1086" s="12"/>
      <c r="E1086" s="12"/>
      <c r="F1086" s="13"/>
      <c r="G1086" s="291"/>
      <c r="H1086" s="12"/>
      <c r="I1086" s="12"/>
      <c r="J1086" s="12"/>
      <c r="K1086" s="12"/>
      <c r="L1086" s="13"/>
      <c r="M1086" s="30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2" t="str">
        <f>IFERROR(__xludf.DUMMYFUNCTION("IF(Account!$F1086&lt;&gt;"""", VALUE(REGEXREPLACE($I1086, ""\,"", ""."")), """")"),"")</f>
        <v/>
      </c>
      <c r="O1086" s="33" t="str">
        <f>IF(Account!$F1086&lt;&gt;"", DATEVALUE(MID($A1086,4,3) &amp; LEFT($A1086,3) &amp; RIGHT($A1086,4)) + TIMEVALUE($B1086), "")</f>
        <v/>
      </c>
      <c r="P1086" s="34" t="str">
        <f>IF(Account!$F1086&lt;&gt;"", DATEVALUE(MID($C1086,4,3) &amp; LEFT($C1086,3) &amp; RIGHT($C1086,4)), "")</f>
        <v/>
      </c>
      <c r="Q1086" s="35" t="str">
        <f t="array" ref="Q1086">IF($R1086&lt;&gt;"",IFERROR(INDEX(ISIN!$B:$B,MATCH($R1086,ISIN!$C:$C,0))),)</f>
        <v/>
      </c>
      <c r="R1086" s="36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5" t="str">
        <f t="shared" si="1"/>
        <v/>
      </c>
      <c r="T1086" s="37" t="str">
        <f t="shared" si="2"/>
        <v/>
      </c>
      <c r="U1086" s="38" t="str">
        <f t="shared" si="3"/>
        <v/>
      </c>
      <c r="V1086" s="32" t="str">
        <f t="shared" si="4"/>
        <v/>
      </c>
      <c r="W1086" s="39" t="str">
        <f>IFERROR(__xludf.DUMMYFUNCTION(" IF(Account!$F1086&lt;&gt;"""", SPLIT(Account!$F1086, "" ""), """")"),"")</f>
        <v/>
      </c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</row>
    <row r="1087">
      <c r="A1087" s="12"/>
      <c r="B1087" s="12"/>
      <c r="C1087" s="12"/>
      <c r="D1087" s="12"/>
      <c r="E1087" s="12"/>
      <c r="F1087" s="13"/>
      <c r="G1087" s="12"/>
      <c r="H1087" s="12"/>
      <c r="I1087" s="12"/>
      <c r="J1087" s="12"/>
      <c r="K1087" s="12"/>
      <c r="L1087" s="13"/>
      <c r="M1087" s="30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2" t="str">
        <f>IFERROR(__xludf.DUMMYFUNCTION("IF(Account!$F1087&lt;&gt;"""", VALUE(REGEXREPLACE($I1087, ""\,"", ""."")), """")"),"")</f>
        <v/>
      </c>
      <c r="O1087" s="33" t="str">
        <f>IF(Account!$F1087&lt;&gt;"", DATEVALUE(MID($A1087,4,3) &amp; LEFT($A1087,3) &amp; RIGHT($A1087,4)) + TIMEVALUE($B1087), "")</f>
        <v/>
      </c>
      <c r="P1087" s="34" t="str">
        <f>IF(Account!$F1087&lt;&gt;"", DATEVALUE(MID($C1087,4,3) &amp; LEFT($C1087,3) &amp; RIGHT($C1087,4)), "")</f>
        <v/>
      </c>
      <c r="Q1087" s="35" t="str">
        <f t="array" ref="Q1087">IF($R1087&lt;&gt;"",IFERROR(INDEX(ISIN!$B:$B,MATCH($R1087,ISIN!$C:$C,0))),)</f>
        <v/>
      </c>
      <c r="R1087" s="36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5" t="str">
        <f t="shared" si="1"/>
        <v/>
      </c>
      <c r="T1087" s="37" t="str">
        <f t="shared" si="2"/>
        <v/>
      </c>
      <c r="U1087" s="38" t="str">
        <f t="shared" si="3"/>
        <v/>
      </c>
      <c r="V1087" s="32" t="str">
        <f t="shared" si="4"/>
        <v/>
      </c>
      <c r="W1087" s="39" t="str">
        <f>IFERROR(__xludf.DUMMYFUNCTION(" IF(Account!$F1087&lt;&gt;"""", SPLIT(Account!$F1087, "" ""), """")"),"")</f>
        <v/>
      </c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</row>
    <row r="1088">
      <c r="A1088" s="12"/>
      <c r="B1088" s="12"/>
      <c r="C1088" s="12"/>
      <c r="D1088" s="12"/>
      <c r="E1088" s="12"/>
      <c r="F1088" s="13"/>
      <c r="G1088" s="291"/>
      <c r="H1088" s="12"/>
      <c r="I1088" s="12"/>
      <c r="J1088" s="12"/>
      <c r="K1088" s="12"/>
      <c r="L1088" s="13"/>
      <c r="M1088" s="30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2" t="str">
        <f>IFERROR(__xludf.DUMMYFUNCTION("IF(Account!$F1088&lt;&gt;"""", VALUE(REGEXREPLACE($I1088, ""\,"", ""."")), """")"),"")</f>
        <v/>
      </c>
      <c r="O1088" s="33" t="str">
        <f>IF(Account!$F1088&lt;&gt;"", DATEVALUE(MID($A1088,4,3) &amp; LEFT($A1088,3) &amp; RIGHT($A1088,4)) + TIMEVALUE($B1088), "")</f>
        <v/>
      </c>
      <c r="P1088" s="34" t="str">
        <f>IF(Account!$F1088&lt;&gt;"", DATEVALUE(MID($C1088,4,3) &amp; LEFT($C1088,3) &amp; RIGHT($C1088,4)), "")</f>
        <v/>
      </c>
      <c r="Q1088" s="35" t="str">
        <f t="array" ref="Q1088">IF($R1088&lt;&gt;"",IFERROR(INDEX(ISIN!$B:$B,MATCH($R1088,ISIN!$C:$C,0))),)</f>
        <v/>
      </c>
      <c r="R1088" s="36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5" t="str">
        <f t="shared" si="1"/>
        <v/>
      </c>
      <c r="T1088" s="37" t="str">
        <f t="shared" si="2"/>
        <v/>
      </c>
      <c r="U1088" s="38" t="str">
        <f t="shared" si="3"/>
        <v/>
      </c>
      <c r="V1088" s="32" t="str">
        <f t="shared" si="4"/>
        <v/>
      </c>
      <c r="W1088" s="39" t="str">
        <f>IFERROR(__xludf.DUMMYFUNCTION(" IF(Account!$F1088&lt;&gt;"""", SPLIT(Account!$F1088, "" ""), """")"),"")</f>
        <v/>
      </c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</row>
    <row r="1089">
      <c r="A1089" s="12"/>
      <c r="B1089" s="12"/>
      <c r="C1089" s="12"/>
      <c r="D1089" s="12"/>
      <c r="E1089" s="12"/>
      <c r="F1089" s="13"/>
      <c r="G1089" s="12"/>
      <c r="H1089" s="12"/>
      <c r="I1089" s="12"/>
      <c r="J1089" s="12"/>
      <c r="K1089" s="12"/>
      <c r="L1089" s="13"/>
      <c r="M1089" s="30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2" t="str">
        <f>IFERROR(__xludf.DUMMYFUNCTION("IF(Account!$F1089&lt;&gt;"""", VALUE(REGEXREPLACE($I1089, ""\,"", ""."")), """")"),"")</f>
        <v/>
      </c>
      <c r="O1089" s="33" t="str">
        <f>IF(Account!$F1089&lt;&gt;"", DATEVALUE(MID($A1089,4,3) &amp; LEFT($A1089,3) &amp; RIGHT($A1089,4)) + TIMEVALUE($B1089), "")</f>
        <v/>
      </c>
      <c r="P1089" s="34" t="str">
        <f>IF(Account!$F1089&lt;&gt;"", DATEVALUE(MID($C1089,4,3) &amp; LEFT($C1089,3) &amp; RIGHT($C1089,4)), "")</f>
        <v/>
      </c>
      <c r="Q1089" s="35" t="str">
        <f t="array" ref="Q1089">IF($R1089&lt;&gt;"",IFERROR(INDEX(ISIN!$B:$B,MATCH($R1089,ISIN!$C:$C,0))),)</f>
        <v/>
      </c>
      <c r="R1089" s="36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5" t="str">
        <f t="shared" si="1"/>
        <v/>
      </c>
      <c r="T1089" s="37" t="str">
        <f t="shared" si="2"/>
        <v/>
      </c>
      <c r="U1089" s="38" t="str">
        <f t="shared" si="3"/>
        <v/>
      </c>
      <c r="V1089" s="32" t="str">
        <f t="shared" si="4"/>
        <v/>
      </c>
      <c r="W1089" s="39" t="str">
        <f>IFERROR(__xludf.DUMMYFUNCTION(" IF(Account!$F1089&lt;&gt;"""", SPLIT(Account!$F1089, "" ""), """")"),"")</f>
        <v/>
      </c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</row>
    <row r="1090">
      <c r="A1090" s="12"/>
      <c r="B1090" s="12"/>
      <c r="C1090" s="12"/>
      <c r="D1090" s="12"/>
      <c r="E1090" s="12"/>
      <c r="F1090" s="13"/>
      <c r="G1090" s="291"/>
      <c r="H1090" s="12"/>
      <c r="I1090" s="12"/>
      <c r="J1090" s="12"/>
      <c r="K1090" s="12"/>
      <c r="L1090" s="13"/>
      <c r="M1090" s="30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2" t="str">
        <f>IFERROR(__xludf.DUMMYFUNCTION("IF(Account!$F1090&lt;&gt;"""", VALUE(REGEXREPLACE($I1090, ""\,"", ""."")), """")"),"")</f>
        <v/>
      </c>
      <c r="O1090" s="33" t="str">
        <f>IF(Account!$F1090&lt;&gt;"", DATEVALUE(MID($A1090,4,3) &amp; LEFT($A1090,3) &amp; RIGHT($A1090,4)) + TIMEVALUE($B1090), "")</f>
        <v/>
      </c>
      <c r="P1090" s="34" t="str">
        <f>IF(Account!$F1090&lt;&gt;"", DATEVALUE(MID($C1090,4,3) &amp; LEFT($C1090,3) &amp; RIGHT($C1090,4)), "")</f>
        <v/>
      </c>
      <c r="Q1090" s="35" t="str">
        <f t="array" ref="Q1090">IF($R1090&lt;&gt;"",IFERROR(INDEX(ISIN!$B:$B,MATCH($R1090,ISIN!$C:$C,0))),)</f>
        <v/>
      </c>
      <c r="R1090" s="36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5" t="str">
        <f t="shared" si="1"/>
        <v/>
      </c>
      <c r="T1090" s="37" t="str">
        <f t="shared" si="2"/>
        <v/>
      </c>
      <c r="U1090" s="38" t="str">
        <f t="shared" si="3"/>
        <v/>
      </c>
      <c r="V1090" s="32" t="str">
        <f t="shared" si="4"/>
        <v/>
      </c>
      <c r="W1090" s="39" t="str">
        <f>IFERROR(__xludf.DUMMYFUNCTION(" IF(Account!$F1090&lt;&gt;"""", SPLIT(Account!$F1090, "" ""), """")"),"")</f>
        <v/>
      </c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</row>
    <row r="1091">
      <c r="A1091" s="12"/>
      <c r="B1091" s="12"/>
      <c r="C1091" s="12"/>
      <c r="D1091" s="12"/>
      <c r="E1091" s="12"/>
      <c r="F1091" s="13"/>
      <c r="G1091" s="291"/>
      <c r="H1091" s="12"/>
      <c r="I1091" s="12"/>
      <c r="J1091" s="12"/>
      <c r="K1091" s="12"/>
      <c r="L1091" s="13"/>
      <c r="M1091" s="30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2" t="str">
        <f>IFERROR(__xludf.DUMMYFUNCTION("IF(Account!$F1091&lt;&gt;"""", VALUE(REGEXREPLACE($I1091, ""\,"", ""."")), """")"),"")</f>
        <v/>
      </c>
      <c r="O1091" s="33" t="str">
        <f>IF(Account!$F1091&lt;&gt;"", DATEVALUE(MID($A1091,4,3) &amp; LEFT($A1091,3) &amp; RIGHT($A1091,4)) + TIMEVALUE($B1091), "")</f>
        <v/>
      </c>
      <c r="P1091" s="34" t="str">
        <f>IF(Account!$F1091&lt;&gt;"", DATEVALUE(MID($C1091,4,3) &amp; LEFT($C1091,3) &amp; RIGHT($C1091,4)), "")</f>
        <v/>
      </c>
      <c r="Q1091" s="35" t="str">
        <f t="array" ref="Q1091">IF($R1091&lt;&gt;"",IFERROR(INDEX(ISIN!$B:$B,MATCH($R1091,ISIN!$C:$C,0))),)</f>
        <v/>
      </c>
      <c r="R1091" s="36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5" t="str">
        <f t="shared" si="1"/>
        <v/>
      </c>
      <c r="T1091" s="37" t="str">
        <f t="shared" si="2"/>
        <v/>
      </c>
      <c r="U1091" s="38" t="str">
        <f t="shared" si="3"/>
        <v/>
      </c>
      <c r="V1091" s="32" t="str">
        <f t="shared" si="4"/>
        <v/>
      </c>
      <c r="W1091" s="39" t="str">
        <f>IFERROR(__xludf.DUMMYFUNCTION(" IF(Account!$F1091&lt;&gt;"""", SPLIT(Account!$F1091, "" ""), """")"),"")</f>
        <v/>
      </c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</row>
    <row r="1092">
      <c r="A1092" s="12"/>
      <c r="B1092" s="12"/>
      <c r="C1092" s="12"/>
      <c r="D1092" s="12"/>
      <c r="E1092" s="12"/>
      <c r="F1092" s="13"/>
      <c r="G1092" s="291"/>
      <c r="H1092" s="12"/>
      <c r="I1092" s="12"/>
      <c r="J1092" s="12"/>
      <c r="K1092" s="12"/>
      <c r="L1092" s="13"/>
      <c r="M1092" s="30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2" t="str">
        <f>IFERROR(__xludf.DUMMYFUNCTION("IF(Account!$F1092&lt;&gt;"""", VALUE(REGEXREPLACE($I1092, ""\,"", ""."")), """")"),"")</f>
        <v/>
      </c>
      <c r="O1092" s="33" t="str">
        <f>IF(Account!$F1092&lt;&gt;"", DATEVALUE(MID($A1092,4,3) &amp; LEFT($A1092,3) &amp; RIGHT($A1092,4)) + TIMEVALUE($B1092), "")</f>
        <v/>
      </c>
      <c r="P1092" s="34" t="str">
        <f>IF(Account!$F1092&lt;&gt;"", DATEVALUE(MID($C1092,4,3) &amp; LEFT($C1092,3) &amp; RIGHT($C1092,4)), "")</f>
        <v/>
      </c>
      <c r="Q1092" s="35" t="str">
        <f t="array" ref="Q1092">IF($R1092&lt;&gt;"",IFERROR(INDEX(ISIN!$B:$B,MATCH($R1092,ISIN!$C:$C,0))),)</f>
        <v/>
      </c>
      <c r="R1092" s="36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5" t="str">
        <f t="shared" si="1"/>
        <v/>
      </c>
      <c r="T1092" s="37" t="str">
        <f t="shared" si="2"/>
        <v/>
      </c>
      <c r="U1092" s="38" t="str">
        <f t="shared" si="3"/>
        <v/>
      </c>
      <c r="V1092" s="32" t="str">
        <f t="shared" si="4"/>
        <v/>
      </c>
      <c r="W1092" s="39" t="str">
        <f>IFERROR(__xludf.DUMMYFUNCTION(" IF(Account!$F1092&lt;&gt;"""", SPLIT(Account!$F1092, "" ""), """")"),"")</f>
        <v/>
      </c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</row>
    <row r="1093">
      <c r="A1093" s="12"/>
      <c r="B1093" s="12"/>
      <c r="C1093" s="12"/>
      <c r="D1093" s="12"/>
      <c r="E1093" s="12"/>
      <c r="F1093" s="13"/>
      <c r="G1093" s="291"/>
      <c r="H1093" s="12"/>
      <c r="I1093" s="12"/>
      <c r="J1093" s="12"/>
      <c r="K1093" s="12"/>
      <c r="L1093" s="13"/>
      <c r="M1093" s="30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2" t="str">
        <f>IFERROR(__xludf.DUMMYFUNCTION("IF(Account!$F1093&lt;&gt;"""", VALUE(REGEXREPLACE($I1093, ""\,"", ""."")), """")"),"")</f>
        <v/>
      </c>
      <c r="O1093" s="33" t="str">
        <f>IF(Account!$F1093&lt;&gt;"", DATEVALUE(MID($A1093,4,3) &amp; LEFT($A1093,3) &amp; RIGHT($A1093,4)) + TIMEVALUE($B1093), "")</f>
        <v/>
      </c>
      <c r="P1093" s="34" t="str">
        <f>IF(Account!$F1093&lt;&gt;"", DATEVALUE(MID($C1093,4,3) &amp; LEFT($C1093,3) &amp; RIGHT($C1093,4)), "")</f>
        <v/>
      </c>
      <c r="Q1093" s="35" t="str">
        <f t="array" ref="Q1093">IF($R1093&lt;&gt;"",IFERROR(INDEX(ISIN!$B:$B,MATCH($R1093,ISIN!$C:$C,0))),)</f>
        <v/>
      </c>
      <c r="R1093" s="36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5" t="str">
        <f t="shared" si="1"/>
        <v/>
      </c>
      <c r="T1093" s="37" t="str">
        <f t="shared" si="2"/>
        <v/>
      </c>
      <c r="U1093" s="38" t="str">
        <f t="shared" si="3"/>
        <v/>
      </c>
      <c r="V1093" s="32" t="str">
        <f t="shared" si="4"/>
        <v/>
      </c>
      <c r="W1093" s="39" t="str">
        <f>IFERROR(__xludf.DUMMYFUNCTION(" IF(Account!$F1093&lt;&gt;"""", SPLIT(Account!$F1093, "" ""), """")"),"")</f>
        <v/>
      </c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</row>
    <row r="1094">
      <c r="A1094" s="12"/>
      <c r="B1094" s="12"/>
      <c r="C1094" s="12"/>
      <c r="D1094" s="12"/>
      <c r="E1094" s="12"/>
      <c r="F1094" s="13"/>
      <c r="G1094" s="12"/>
      <c r="H1094" s="12"/>
      <c r="I1094" s="12"/>
      <c r="J1094" s="12"/>
      <c r="K1094" s="12"/>
      <c r="L1094" s="13"/>
      <c r="M1094" s="30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2" t="str">
        <f>IFERROR(__xludf.DUMMYFUNCTION("IF(Account!$F1094&lt;&gt;"""", VALUE(REGEXREPLACE($I1094, ""\,"", ""."")), """")"),"")</f>
        <v/>
      </c>
      <c r="O1094" s="33" t="str">
        <f>IF(Account!$F1094&lt;&gt;"", DATEVALUE(MID($A1094,4,3) &amp; LEFT($A1094,3) &amp; RIGHT($A1094,4)) + TIMEVALUE($B1094), "")</f>
        <v/>
      </c>
      <c r="P1094" s="34" t="str">
        <f>IF(Account!$F1094&lt;&gt;"", DATEVALUE(MID($C1094,4,3) &amp; LEFT($C1094,3) &amp; RIGHT($C1094,4)), "")</f>
        <v/>
      </c>
      <c r="Q1094" s="35" t="str">
        <f t="array" ref="Q1094">IF($R1094&lt;&gt;"",IFERROR(INDEX(ISIN!$B:$B,MATCH($R1094,ISIN!$C:$C,0))),)</f>
        <v/>
      </c>
      <c r="R1094" s="36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5" t="str">
        <f t="shared" si="1"/>
        <v/>
      </c>
      <c r="T1094" s="37" t="str">
        <f t="shared" si="2"/>
        <v/>
      </c>
      <c r="U1094" s="38" t="str">
        <f t="shared" si="3"/>
        <v/>
      </c>
      <c r="V1094" s="32" t="str">
        <f t="shared" si="4"/>
        <v/>
      </c>
      <c r="W1094" s="39" t="str">
        <f>IFERROR(__xludf.DUMMYFUNCTION(" IF(Account!$F1094&lt;&gt;"""", SPLIT(Account!$F1094, "" ""), """")"),"")</f>
        <v/>
      </c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</row>
    <row r="1095">
      <c r="A1095" s="12"/>
      <c r="B1095" s="12"/>
      <c r="C1095" s="12"/>
      <c r="D1095" s="12"/>
      <c r="E1095" s="12"/>
      <c r="F1095" s="13"/>
      <c r="G1095" s="291"/>
      <c r="H1095" s="12"/>
      <c r="I1095" s="12"/>
      <c r="J1095" s="12"/>
      <c r="K1095" s="12"/>
      <c r="L1095" s="13"/>
      <c r="M1095" s="30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2" t="str">
        <f>IFERROR(__xludf.DUMMYFUNCTION("IF(Account!$F1095&lt;&gt;"""", VALUE(REGEXREPLACE($I1095, ""\,"", ""."")), """")"),"")</f>
        <v/>
      </c>
      <c r="O1095" s="33" t="str">
        <f>IF(Account!$F1095&lt;&gt;"", DATEVALUE(MID($A1095,4,3) &amp; LEFT($A1095,3) &amp; RIGHT($A1095,4)) + TIMEVALUE($B1095), "")</f>
        <v/>
      </c>
      <c r="P1095" s="34" t="str">
        <f>IF(Account!$F1095&lt;&gt;"", DATEVALUE(MID($C1095,4,3) &amp; LEFT($C1095,3) &amp; RIGHT($C1095,4)), "")</f>
        <v/>
      </c>
      <c r="Q1095" s="35" t="str">
        <f t="array" ref="Q1095">IF($R1095&lt;&gt;"",IFERROR(INDEX(ISIN!$B:$B,MATCH($R1095,ISIN!$C:$C,0))),)</f>
        <v/>
      </c>
      <c r="R1095" s="36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5" t="str">
        <f t="shared" si="1"/>
        <v/>
      </c>
      <c r="T1095" s="37" t="str">
        <f t="shared" si="2"/>
        <v/>
      </c>
      <c r="U1095" s="38" t="str">
        <f t="shared" si="3"/>
        <v/>
      </c>
      <c r="V1095" s="32" t="str">
        <f t="shared" si="4"/>
        <v/>
      </c>
      <c r="W1095" s="39" t="str">
        <f>IFERROR(__xludf.DUMMYFUNCTION(" IF(Account!$F1095&lt;&gt;"""", SPLIT(Account!$F1095, "" ""), """")"),"")</f>
        <v/>
      </c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</row>
    <row r="1096">
      <c r="A1096" s="12"/>
      <c r="B1096" s="12"/>
      <c r="C1096" s="12"/>
      <c r="D1096" s="12"/>
      <c r="E1096" s="12"/>
      <c r="F1096" s="13"/>
      <c r="G1096" s="291"/>
      <c r="H1096" s="12"/>
      <c r="I1096" s="12"/>
      <c r="J1096" s="12"/>
      <c r="K1096" s="12"/>
      <c r="L1096" s="13"/>
      <c r="M1096" s="30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2" t="str">
        <f>IFERROR(__xludf.DUMMYFUNCTION("IF(Account!$F1096&lt;&gt;"""", VALUE(REGEXREPLACE($I1096, ""\,"", ""."")), """")"),"")</f>
        <v/>
      </c>
      <c r="O1096" s="33" t="str">
        <f>IF(Account!$F1096&lt;&gt;"", DATEVALUE(MID($A1096,4,3) &amp; LEFT($A1096,3) &amp; RIGHT($A1096,4)) + TIMEVALUE($B1096), "")</f>
        <v/>
      </c>
      <c r="P1096" s="34" t="str">
        <f>IF(Account!$F1096&lt;&gt;"", DATEVALUE(MID($C1096,4,3) &amp; LEFT($C1096,3) &amp; RIGHT($C1096,4)), "")</f>
        <v/>
      </c>
      <c r="Q1096" s="35" t="str">
        <f t="array" ref="Q1096">IF($R1096&lt;&gt;"",IFERROR(INDEX(ISIN!$B:$B,MATCH($R1096,ISIN!$C:$C,0))),)</f>
        <v/>
      </c>
      <c r="R1096" s="36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5" t="str">
        <f t="shared" si="1"/>
        <v/>
      </c>
      <c r="T1096" s="37" t="str">
        <f t="shared" si="2"/>
        <v/>
      </c>
      <c r="U1096" s="38" t="str">
        <f t="shared" si="3"/>
        <v/>
      </c>
      <c r="V1096" s="32" t="str">
        <f t="shared" si="4"/>
        <v/>
      </c>
      <c r="W1096" s="39" t="str">
        <f>IFERROR(__xludf.DUMMYFUNCTION(" IF(Account!$F1096&lt;&gt;"""", SPLIT(Account!$F1096, "" ""), """")"),"")</f>
        <v/>
      </c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</row>
    <row r="1097">
      <c r="A1097" s="12"/>
      <c r="B1097" s="12"/>
      <c r="C1097" s="12"/>
      <c r="D1097" s="12"/>
      <c r="E1097" s="12"/>
      <c r="F1097" s="13"/>
      <c r="G1097" s="12"/>
      <c r="H1097" s="12"/>
      <c r="I1097" s="12"/>
      <c r="J1097" s="12"/>
      <c r="K1097" s="12"/>
      <c r="L1097" s="13"/>
      <c r="M1097" s="30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2" t="str">
        <f>IFERROR(__xludf.DUMMYFUNCTION("IF(Account!$F1097&lt;&gt;"""", VALUE(REGEXREPLACE($I1097, ""\,"", ""."")), """")"),"")</f>
        <v/>
      </c>
      <c r="O1097" s="33" t="str">
        <f>IF(Account!$F1097&lt;&gt;"", DATEVALUE(MID($A1097,4,3) &amp; LEFT($A1097,3) &amp; RIGHT($A1097,4)) + TIMEVALUE($B1097), "")</f>
        <v/>
      </c>
      <c r="P1097" s="34" t="str">
        <f>IF(Account!$F1097&lt;&gt;"", DATEVALUE(MID($C1097,4,3) &amp; LEFT($C1097,3) &amp; RIGHT($C1097,4)), "")</f>
        <v/>
      </c>
      <c r="Q1097" s="35" t="str">
        <f t="array" ref="Q1097">IF($R1097&lt;&gt;"",IFERROR(INDEX(ISIN!$B:$B,MATCH($R1097,ISIN!$C:$C,0))),)</f>
        <v/>
      </c>
      <c r="R1097" s="36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5" t="str">
        <f t="shared" si="1"/>
        <v/>
      </c>
      <c r="T1097" s="37" t="str">
        <f t="shared" si="2"/>
        <v/>
      </c>
      <c r="U1097" s="38" t="str">
        <f t="shared" si="3"/>
        <v/>
      </c>
      <c r="V1097" s="32" t="str">
        <f t="shared" si="4"/>
        <v/>
      </c>
      <c r="W1097" s="39" t="str">
        <f>IFERROR(__xludf.DUMMYFUNCTION(" IF(Account!$F1097&lt;&gt;"""", SPLIT(Account!$F1097, "" ""), """")"),"")</f>
        <v/>
      </c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</row>
    <row r="1098">
      <c r="A1098" s="291"/>
      <c r="B1098" s="291"/>
      <c r="C1098" s="291"/>
      <c r="D1098" s="291"/>
      <c r="E1098" s="291"/>
      <c r="F1098" s="335"/>
      <c r="G1098" s="291"/>
      <c r="H1098" s="291"/>
      <c r="I1098" s="291"/>
      <c r="J1098" s="291"/>
      <c r="K1098" s="291"/>
      <c r="L1098" s="13"/>
      <c r="M1098" s="30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2" t="str">
        <f>IFERROR(__xludf.DUMMYFUNCTION("IF(Account!$F1098&lt;&gt;"""", VALUE(REGEXREPLACE($I1098, ""\,"", ""."")), """")"),"")</f>
        <v/>
      </c>
      <c r="O1098" s="33" t="str">
        <f>IF(Account!$F1098&lt;&gt;"", DATEVALUE(MID($A1098,4,3) &amp; LEFT($A1098,3) &amp; RIGHT($A1098,4)) + TIMEVALUE($B1098), "")</f>
        <v/>
      </c>
      <c r="P1098" s="34" t="str">
        <f>IF(Account!$F1098&lt;&gt;"", DATEVALUE(MID($C1098,4,3) &amp; LEFT($C1098,3) &amp; RIGHT($C1098,4)), "")</f>
        <v/>
      </c>
      <c r="Q1098" s="35" t="str">
        <f t="array" ref="Q1098">IF($R1098&lt;&gt;"",IFERROR(INDEX(ISIN!$B:$B,MATCH($R1098,ISIN!$C:$C,0))),)</f>
        <v/>
      </c>
      <c r="R1098" s="36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5" t="str">
        <f t="shared" si="1"/>
        <v/>
      </c>
      <c r="T1098" s="37" t="str">
        <f t="shared" si="2"/>
        <v/>
      </c>
      <c r="U1098" s="38" t="str">
        <f t="shared" si="3"/>
        <v/>
      </c>
      <c r="V1098" s="32" t="str">
        <f t="shared" si="4"/>
        <v/>
      </c>
      <c r="W1098" s="39" t="str">
        <f>IFERROR(__xludf.DUMMYFUNCTION(" IF(Account!$F1098&lt;&gt;"""", SPLIT(Account!$F1098, "" ""), """")"),"")</f>
        <v/>
      </c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</row>
    <row r="1099">
      <c r="A1099" s="12"/>
      <c r="B1099" s="12"/>
      <c r="C1099" s="12"/>
      <c r="D1099" s="12"/>
      <c r="E1099" s="12"/>
      <c r="F1099" s="13"/>
      <c r="G1099" s="291"/>
      <c r="H1099" s="12"/>
      <c r="I1099" s="12"/>
      <c r="J1099" s="12"/>
      <c r="K1099" s="12"/>
      <c r="L1099" s="13"/>
      <c r="M1099" s="30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2" t="str">
        <f>IFERROR(__xludf.DUMMYFUNCTION("IF(Account!$F1099&lt;&gt;"""", VALUE(REGEXREPLACE($I1099, ""\,"", ""."")), """")"),"")</f>
        <v/>
      </c>
      <c r="O1099" s="33" t="str">
        <f>IF(Account!$F1099&lt;&gt;"", DATEVALUE(MID($A1099,4,3) &amp; LEFT($A1099,3) &amp; RIGHT($A1099,4)) + TIMEVALUE($B1099), "")</f>
        <v/>
      </c>
      <c r="P1099" s="34" t="str">
        <f>IF(Account!$F1099&lt;&gt;"", DATEVALUE(MID($C1099,4,3) &amp; LEFT($C1099,3) &amp; RIGHT($C1099,4)), "")</f>
        <v/>
      </c>
      <c r="Q1099" s="35" t="str">
        <f t="array" ref="Q1099">IF($R1099&lt;&gt;"",IFERROR(INDEX(ISIN!$B:$B,MATCH($R1099,ISIN!$C:$C,0))),)</f>
        <v/>
      </c>
      <c r="R1099" s="36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5" t="str">
        <f t="shared" si="1"/>
        <v/>
      </c>
      <c r="T1099" s="37" t="str">
        <f t="shared" si="2"/>
        <v/>
      </c>
      <c r="U1099" s="38" t="str">
        <f t="shared" si="3"/>
        <v/>
      </c>
      <c r="V1099" s="32" t="str">
        <f t="shared" si="4"/>
        <v/>
      </c>
      <c r="W1099" s="39" t="str">
        <f>IFERROR(__xludf.DUMMYFUNCTION(" IF(Account!$F1099&lt;&gt;"""", SPLIT(Account!$F1099, "" ""), """")"),"")</f>
        <v/>
      </c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</row>
    <row r="1100">
      <c r="A1100" s="12"/>
      <c r="B1100" s="12"/>
      <c r="C1100" s="12"/>
      <c r="D1100" s="12"/>
      <c r="E1100" s="12"/>
      <c r="F1100" s="13"/>
      <c r="G1100" s="291"/>
      <c r="H1100" s="12"/>
      <c r="I1100" s="12"/>
      <c r="J1100" s="12"/>
      <c r="K1100" s="12"/>
      <c r="L1100" s="13"/>
      <c r="M1100" s="30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2" t="str">
        <f>IFERROR(__xludf.DUMMYFUNCTION("IF(Account!$F1100&lt;&gt;"""", VALUE(REGEXREPLACE($I1100, ""\,"", ""."")), """")"),"")</f>
        <v/>
      </c>
      <c r="O1100" s="33" t="str">
        <f>IF(Account!$F1100&lt;&gt;"", DATEVALUE(MID($A1100,4,3) &amp; LEFT($A1100,3) &amp; RIGHT($A1100,4)) + TIMEVALUE($B1100), "")</f>
        <v/>
      </c>
      <c r="P1100" s="34" t="str">
        <f>IF(Account!$F1100&lt;&gt;"", DATEVALUE(MID($C1100,4,3) &amp; LEFT($C1100,3) &amp; RIGHT($C1100,4)), "")</f>
        <v/>
      </c>
      <c r="Q1100" s="35" t="str">
        <f t="array" ref="Q1100">IF($R1100&lt;&gt;"",IFERROR(INDEX(ISIN!$B:$B,MATCH($R1100,ISIN!$C:$C,0))),)</f>
        <v/>
      </c>
      <c r="R1100" s="36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5" t="str">
        <f t="shared" si="1"/>
        <v/>
      </c>
      <c r="T1100" s="37" t="str">
        <f t="shared" si="2"/>
        <v/>
      </c>
      <c r="U1100" s="38" t="str">
        <f t="shared" si="3"/>
        <v/>
      </c>
      <c r="V1100" s="32" t="str">
        <f t="shared" si="4"/>
        <v/>
      </c>
      <c r="W1100" s="39" t="str">
        <f>IFERROR(__xludf.DUMMYFUNCTION(" IF(Account!$F1100&lt;&gt;"""", SPLIT(Account!$F1100, "" ""), """")"),"")</f>
        <v/>
      </c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</row>
    <row r="1101">
      <c r="A1101" s="12"/>
      <c r="B1101" s="12"/>
      <c r="C1101" s="12"/>
      <c r="D1101" s="12"/>
      <c r="E1101" s="12"/>
      <c r="F1101" s="13"/>
      <c r="G1101" s="291"/>
      <c r="H1101" s="12"/>
      <c r="I1101" s="12"/>
      <c r="J1101" s="12"/>
      <c r="K1101" s="12"/>
      <c r="L1101" s="13"/>
      <c r="M1101" s="30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2" t="str">
        <f>IFERROR(__xludf.DUMMYFUNCTION("IF(Account!$F1101&lt;&gt;"""", VALUE(REGEXREPLACE($I1101, ""\,"", ""."")), """")"),"")</f>
        <v/>
      </c>
      <c r="O1101" s="33" t="str">
        <f>IF(Account!$F1101&lt;&gt;"", DATEVALUE(MID($A1101,4,3) &amp; LEFT($A1101,3) &amp; RIGHT($A1101,4)) + TIMEVALUE($B1101), "")</f>
        <v/>
      </c>
      <c r="P1101" s="34" t="str">
        <f>IF(Account!$F1101&lt;&gt;"", DATEVALUE(MID($C1101,4,3) &amp; LEFT($C1101,3) &amp; RIGHT($C1101,4)), "")</f>
        <v/>
      </c>
      <c r="Q1101" s="35" t="str">
        <f t="array" ref="Q1101">IF($R1101&lt;&gt;"",IFERROR(INDEX(ISIN!$B:$B,MATCH($R1101,ISIN!$C:$C,0))),)</f>
        <v/>
      </c>
      <c r="R1101" s="36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5" t="str">
        <f t="shared" si="1"/>
        <v/>
      </c>
      <c r="T1101" s="37" t="str">
        <f t="shared" si="2"/>
        <v/>
      </c>
      <c r="U1101" s="38" t="str">
        <f t="shared" si="3"/>
        <v/>
      </c>
      <c r="V1101" s="32" t="str">
        <f t="shared" si="4"/>
        <v/>
      </c>
      <c r="W1101" s="39" t="str">
        <f>IFERROR(__xludf.DUMMYFUNCTION(" IF(Account!$F1101&lt;&gt;"""", SPLIT(Account!$F1101, "" ""), """")"),"")</f>
        <v/>
      </c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</row>
    <row r="1102">
      <c r="A1102" s="12"/>
      <c r="B1102" s="12"/>
      <c r="C1102" s="12"/>
      <c r="D1102" s="12"/>
      <c r="E1102" s="12"/>
      <c r="F1102" s="13"/>
      <c r="G1102" s="291"/>
      <c r="H1102" s="291"/>
      <c r="I1102" s="291"/>
      <c r="J1102" s="12"/>
      <c r="K1102" s="12"/>
      <c r="L1102" s="335"/>
      <c r="M1102" s="30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2" t="str">
        <f>IFERROR(__xludf.DUMMYFUNCTION("IF(Account!$F1102&lt;&gt;"""", VALUE(REGEXREPLACE($I1102, ""\,"", ""."")), """")"),"")</f>
        <v/>
      </c>
      <c r="O1102" s="33" t="str">
        <f>IF(Account!$F1102&lt;&gt;"", DATEVALUE(MID($A1102,4,3) &amp; LEFT($A1102,3) &amp; RIGHT($A1102,4)) + TIMEVALUE($B1102), "")</f>
        <v/>
      </c>
      <c r="P1102" s="34" t="str">
        <f>IF(Account!$F1102&lt;&gt;"", DATEVALUE(MID($C1102,4,3) &amp; LEFT($C1102,3) &amp; RIGHT($C1102,4)), "")</f>
        <v/>
      </c>
      <c r="Q1102" s="35" t="str">
        <f t="array" ref="Q1102">IF($R1102&lt;&gt;"",IFERROR(INDEX(ISIN!$B:$B,MATCH($R1102,ISIN!$C:$C,0))),)</f>
        <v/>
      </c>
      <c r="R1102" s="36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5" t="str">
        <f t="shared" si="1"/>
        <v/>
      </c>
      <c r="T1102" s="37" t="str">
        <f t="shared" si="2"/>
        <v/>
      </c>
      <c r="U1102" s="38" t="str">
        <f t="shared" si="3"/>
        <v/>
      </c>
      <c r="V1102" s="32" t="str">
        <f t="shared" si="4"/>
        <v/>
      </c>
      <c r="W1102" s="39" t="str">
        <f>IFERROR(__xludf.DUMMYFUNCTION(" IF(Account!$F1102&lt;&gt;"""", SPLIT(Account!$F1102, "" ""), """")"),"")</f>
        <v/>
      </c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</row>
    <row r="1103">
      <c r="A1103" s="12"/>
      <c r="B1103" s="12"/>
      <c r="C1103" s="12"/>
      <c r="D1103" s="291"/>
      <c r="E1103" s="291"/>
      <c r="F1103" s="13"/>
      <c r="G1103" s="12"/>
      <c r="H1103" s="12"/>
      <c r="I1103" s="12"/>
      <c r="J1103" s="12"/>
      <c r="K1103" s="12"/>
      <c r="L1103" s="335"/>
      <c r="M1103" s="30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2" t="str">
        <f>IFERROR(__xludf.DUMMYFUNCTION("IF(Account!$F1103&lt;&gt;"""", VALUE(REGEXREPLACE($I1103, ""\,"", ""."")), """")"),"")</f>
        <v/>
      </c>
      <c r="O1103" s="33" t="str">
        <f>IF(Account!$F1103&lt;&gt;"", DATEVALUE(MID($A1103,4,3) &amp; LEFT($A1103,3) &amp; RIGHT($A1103,4)) + TIMEVALUE($B1103), "")</f>
        <v/>
      </c>
      <c r="P1103" s="34" t="str">
        <f>IF(Account!$F1103&lt;&gt;"", DATEVALUE(MID($C1103,4,3) &amp; LEFT($C1103,3) &amp; RIGHT($C1103,4)), "")</f>
        <v/>
      </c>
      <c r="Q1103" s="35" t="str">
        <f t="array" ref="Q1103">IF($R1103&lt;&gt;"",IFERROR(INDEX(ISIN!$B:$B,MATCH($R1103,ISIN!$C:$C,0))),)</f>
        <v/>
      </c>
      <c r="R1103" s="36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5" t="str">
        <f t="shared" si="1"/>
        <v/>
      </c>
      <c r="T1103" s="37" t="str">
        <f t="shared" si="2"/>
        <v/>
      </c>
      <c r="U1103" s="38" t="str">
        <f t="shared" si="3"/>
        <v/>
      </c>
      <c r="V1103" s="32" t="str">
        <f t="shared" si="4"/>
        <v/>
      </c>
      <c r="W1103" s="39" t="str">
        <f>IFERROR(__xludf.DUMMYFUNCTION(" IF(Account!$F1103&lt;&gt;"""", SPLIT(Account!$F1103, "" ""), """")"),"")</f>
        <v/>
      </c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</row>
    <row r="1104">
      <c r="A1104" s="12"/>
      <c r="B1104" s="12"/>
      <c r="C1104" s="12"/>
      <c r="D1104" s="291"/>
      <c r="E1104" s="291"/>
      <c r="F1104" s="13"/>
      <c r="G1104" s="291"/>
      <c r="H1104" s="12"/>
      <c r="I1104" s="12"/>
      <c r="J1104" s="12"/>
      <c r="K1104" s="12"/>
      <c r="L1104" s="335"/>
      <c r="M1104" s="30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2" t="str">
        <f>IFERROR(__xludf.DUMMYFUNCTION("IF(Account!$F1104&lt;&gt;"""", VALUE(REGEXREPLACE($I1104, ""\,"", ""."")), """")"),"")</f>
        <v/>
      </c>
      <c r="O1104" s="33" t="str">
        <f>IF(Account!$F1104&lt;&gt;"", DATEVALUE(MID($A1104,4,3) &amp; LEFT($A1104,3) &amp; RIGHT($A1104,4)) + TIMEVALUE($B1104), "")</f>
        <v/>
      </c>
      <c r="P1104" s="34" t="str">
        <f>IF(Account!$F1104&lt;&gt;"", DATEVALUE(MID($C1104,4,3) &amp; LEFT($C1104,3) &amp; RIGHT($C1104,4)), "")</f>
        <v/>
      </c>
      <c r="Q1104" s="35" t="str">
        <f t="array" ref="Q1104">IF($R1104&lt;&gt;"",IFERROR(INDEX(ISIN!$B:$B,MATCH($R1104,ISIN!$C:$C,0))),)</f>
        <v/>
      </c>
      <c r="R1104" s="36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5" t="str">
        <f t="shared" si="1"/>
        <v/>
      </c>
      <c r="T1104" s="37" t="str">
        <f t="shared" si="2"/>
        <v/>
      </c>
      <c r="U1104" s="38" t="str">
        <f t="shared" si="3"/>
        <v/>
      </c>
      <c r="V1104" s="32" t="str">
        <f t="shared" si="4"/>
        <v/>
      </c>
      <c r="W1104" s="39" t="str">
        <f>IFERROR(__xludf.DUMMYFUNCTION(" IF(Account!$F1104&lt;&gt;"""", SPLIT(Account!$F1104, "" ""), """")"),"")</f>
        <v/>
      </c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</row>
    <row r="1105">
      <c r="A1105" s="12"/>
      <c r="B1105" s="12"/>
      <c r="C1105" s="12"/>
      <c r="D1105" s="12"/>
      <c r="E1105" s="12"/>
      <c r="F1105" s="13"/>
      <c r="G1105" s="291"/>
      <c r="H1105" s="291"/>
      <c r="I1105" s="291"/>
      <c r="J1105" s="12"/>
      <c r="K1105" s="12"/>
      <c r="L1105" s="335"/>
      <c r="M1105" s="30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2" t="str">
        <f>IFERROR(__xludf.DUMMYFUNCTION("IF(Account!$F1105&lt;&gt;"""", VALUE(REGEXREPLACE($I1105, ""\,"", ""."")), """")"),"")</f>
        <v/>
      </c>
      <c r="O1105" s="33" t="str">
        <f>IF(Account!$F1105&lt;&gt;"", DATEVALUE(MID($A1105,4,3) &amp; LEFT($A1105,3) &amp; RIGHT($A1105,4)) + TIMEVALUE($B1105), "")</f>
        <v/>
      </c>
      <c r="P1105" s="34" t="str">
        <f>IF(Account!$F1105&lt;&gt;"", DATEVALUE(MID($C1105,4,3) &amp; LEFT($C1105,3) &amp; RIGHT($C1105,4)), "")</f>
        <v/>
      </c>
      <c r="Q1105" s="35" t="str">
        <f t="array" ref="Q1105">IF($R1105&lt;&gt;"",IFERROR(INDEX(ISIN!$B:$B,MATCH($R1105,ISIN!$C:$C,0))),)</f>
        <v/>
      </c>
      <c r="R1105" s="36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5" t="str">
        <f t="shared" si="1"/>
        <v/>
      </c>
      <c r="T1105" s="37" t="str">
        <f t="shared" si="2"/>
        <v/>
      </c>
      <c r="U1105" s="38" t="str">
        <f t="shared" si="3"/>
        <v/>
      </c>
      <c r="V1105" s="32" t="str">
        <f t="shared" si="4"/>
        <v/>
      </c>
      <c r="W1105" s="39" t="str">
        <f>IFERROR(__xludf.DUMMYFUNCTION(" IF(Account!$F1105&lt;&gt;"""", SPLIT(Account!$F1105, "" ""), """")"),"")</f>
        <v/>
      </c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</row>
    <row r="1106">
      <c r="A1106" s="12"/>
      <c r="B1106" s="12"/>
      <c r="C1106" s="12"/>
      <c r="D1106" s="12"/>
      <c r="E1106" s="12"/>
      <c r="F1106" s="13"/>
      <c r="G1106" s="291"/>
      <c r="H1106" s="12"/>
      <c r="I1106" s="12"/>
      <c r="J1106" s="12"/>
      <c r="K1106" s="12"/>
      <c r="L1106" s="335"/>
      <c r="M1106" s="30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2" t="str">
        <f>IFERROR(__xludf.DUMMYFUNCTION("IF(Account!$F1106&lt;&gt;"""", VALUE(REGEXREPLACE($I1106, ""\,"", ""."")), """")"),"")</f>
        <v/>
      </c>
      <c r="O1106" s="33" t="str">
        <f>IF(Account!$F1106&lt;&gt;"", DATEVALUE(MID($A1106,4,3) &amp; LEFT($A1106,3) &amp; RIGHT($A1106,4)) + TIMEVALUE($B1106), "")</f>
        <v/>
      </c>
      <c r="P1106" s="34" t="str">
        <f>IF(Account!$F1106&lt;&gt;"", DATEVALUE(MID($C1106,4,3) &amp; LEFT($C1106,3) &amp; RIGHT($C1106,4)), "")</f>
        <v/>
      </c>
      <c r="Q1106" s="35" t="str">
        <f t="array" ref="Q1106">IF($R1106&lt;&gt;"",IFERROR(INDEX(ISIN!$B:$B,MATCH($R1106,ISIN!$C:$C,0))),)</f>
        <v/>
      </c>
      <c r="R1106" s="36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5" t="str">
        <f t="shared" si="1"/>
        <v/>
      </c>
      <c r="T1106" s="37" t="str">
        <f t="shared" si="2"/>
        <v/>
      </c>
      <c r="U1106" s="38" t="str">
        <f t="shared" si="3"/>
        <v/>
      </c>
      <c r="V1106" s="32" t="str">
        <f t="shared" si="4"/>
        <v/>
      </c>
      <c r="W1106" s="39" t="str">
        <f>IFERROR(__xludf.DUMMYFUNCTION(" IF(Account!$F1106&lt;&gt;"""", SPLIT(Account!$F1106, "" ""), """")"),"")</f>
        <v/>
      </c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</row>
    <row r="1107">
      <c r="A1107" s="12"/>
      <c r="B1107" s="12"/>
      <c r="C1107" s="12"/>
      <c r="D1107" s="12"/>
      <c r="E1107" s="12"/>
      <c r="F1107" s="13"/>
      <c r="G1107" s="291"/>
      <c r="H1107" s="12"/>
      <c r="I1107" s="12"/>
      <c r="J1107" s="12"/>
      <c r="K1107" s="12"/>
      <c r="L1107" s="335"/>
      <c r="M1107" s="30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2" t="str">
        <f>IFERROR(__xludf.DUMMYFUNCTION("IF(Account!$F1107&lt;&gt;"""", VALUE(REGEXREPLACE($I1107, ""\,"", ""."")), """")"),"")</f>
        <v/>
      </c>
      <c r="O1107" s="33" t="str">
        <f>IF(Account!$F1107&lt;&gt;"", DATEVALUE(MID($A1107,4,3) &amp; LEFT($A1107,3) &amp; RIGHT($A1107,4)) + TIMEVALUE($B1107), "")</f>
        <v/>
      </c>
      <c r="P1107" s="34" t="str">
        <f>IF(Account!$F1107&lt;&gt;"", DATEVALUE(MID($C1107,4,3) &amp; LEFT($C1107,3) &amp; RIGHT($C1107,4)), "")</f>
        <v/>
      </c>
      <c r="Q1107" s="35" t="str">
        <f t="array" ref="Q1107">IF($R1107&lt;&gt;"",IFERROR(INDEX(ISIN!$B:$B,MATCH($R1107,ISIN!$C:$C,0))),)</f>
        <v/>
      </c>
      <c r="R1107" s="36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5" t="str">
        <f t="shared" si="1"/>
        <v/>
      </c>
      <c r="T1107" s="37" t="str">
        <f t="shared" si="2"/>
        <v/>
      </c>
      <c r="U1107" s="38" t="str">
        <f t="shared" si="3"/>
        <v/>
      </c>
      <c r="V1107" s="32" t="str">
        <f t="shared" si="4"/>
        <v/>
      </c>
      <c r="W1107" s="39" t="str">
        <f>IFERROR(__xludf.DUMMYFUNCTION(" IF(Account!$F1107&lt;&gt;"""", SPLIT(Account!$F1107, "" ""), """")"),"")</f>
        <v/>
      </c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</row>
    <row r="1108">
      <c r="A1108" s="12"/>
      <c r="B1108" s="12"/>
      <c r="C1108" s="12"/>
      <c r="D1108" s="291"/>
      <c r="E1108" s="291"/>
      <c r="F1108" s="13"/>
      <c r="G1108" s="291"/>
      <c r="H1108" s="12"/>
      <c r="I1108" s="12"/>
      <c r="J1108" s="12"/>
      <c r="K1108" s="12"/>
      <c r="L1108" s="335"/>
      <c r="M1108" s="30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2" t="str">
        <f>IFERROR(__xludf.DUMMYFUNCTION("IF(Account!$F1108&lt;&gt;"""", VALUE(REGEXREPLACE($I1108, ""\,"", ""."")), """")"),"")</f>
        <v/>
      </c>
      <c r="O1108" s="33" t="str">
        <f>IF(Account!$F1108&lt;&gt;"", DATEVALUE(MID($A1108,4,3) &amp; LEFT($A1108,3) &amp; RIGHT($A1108,4)) + TIMEVALUE($B1108), "")</f>
        <v/>
      </c>
      <c r="P1108" s="34" t="str">
        <f>IF(Account!$F1108&lt;&gt;"", DATEVALUE(MID($C1108,4,3) &amp; LEFT($C1108,3) &amp; RIGHT($C1108,4)), "")</f>
        <v/>
      </c>
      <c r="Q1108" s="35" t="str">
        <f t="array" ref="Q1108">IF($R1108&lt;&gt;"",IFERROR(INDEX(ISIN!$B:$B,MATCH($R1108,ISIN!$C:$C,0))),)</f>
        <v/>
      </c>
      <c r="R1108" s="36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5" t="str">
        <f t="shared" si="1"/>
        <v/>
      </c>
      <c r="T1108" s="37" t="str">
        <f t="shared" si="2"/>
        <v/>
      </c>
      <c r="U1108" s="38" t="str">
        <f t="shared" si="3"/>
        <v/>
      </c>
      <c r="V1108" s="32" t="str">
        <f t="shared" si="4"/>
        <v/>
      </c>
      <c r="W1108" s="39" t="str">
        <f>IFERROR(__xludf.DUMMYFUNCTION(" IF(Account!$F1108&lt;&gt;"""", SPLIT(Account!$F1108, "" ""), """")"),"")</f>
        <v/>
      </c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</row>
    <row r="1109">
      <c r="A1109" s="12"/>
      <c r="B1109" s="12"/>
      <c r="C1109" s="12"/>
      <c r="D1109" s="291"/>
      <c r="E1109" s="291"/>
      <c r="F1109" s="13"/>
      <c r="G1109" s="291"/>
      <c r="H1109" s="12"/>
      <c r="I1109" s="12"/>
      <c r="J1109" s="12"/>
      <c r="K1109" s="12"/>
      <c r="L1109" s="335"/>
      <c r="M1109" s="30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2" t="str">
        <f>IFERROR(__xludf.DUMMYFUNCTION("IF(Account!$F1109&lt;&gt;"""", VALUE(REGEXREPLACE($I1109, ""\,"", ""."")), """")"),"")</f>
        <v/>
      </c>
      <c r="O1109" s="33" t="str">
        <f>IF(Account!$F1109&lt;&gt;"", DATEVALUE(MID($A1109,4,3) &amp; LEFT($A1109,3) &amp; RIGHT($A1109,4)) + TIMEVALUE($B1109), "")</f>
        <v/>
      </c>
      <c r="P1109" s="34" t="str">
        <f>IF(Account!$F1109&lt;&gt;"", DATEVALUE(MID($C1109,4,3) &amp; LEFT($C1109,3) &amp; RIGHT($C1109,4)), "")</f>
        <v/>
      </c>
      <c r="Q1109" s="35" t="str">
        <f t="array" ref="Q1109">IF($R1109&lt;&gt;"",IFERROR(INDEX(ISIN!$B:$B,MATCH($R1109,ISIN!$C:$C,0))),)</f>
        <v/>
      </c>
      <c r="R1109" s="36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5" t="str">
        <f t="shared" si="1"/>
        <v/>
      </c>
      <c r="T1109" s="37" t="str">
        <f t="shared" si="2"/>
        <v/>
      </c>
      <c r="U1109" s="38" t="str">
        <f t="shared" si="3"/>
        <v/>
      </c>
      <c r="V1109" s="32" t="str">
        <f t="shared" si="4"/>
        <v/>
      </c>
      <c r="W1109" s="39" t="str">
        <f>IFERROR(__xludf.DUMMYFUNCTION(" IF(Account!$F1109&lt;&gt;"""", SPLIT(Account!$F1109, "" ""), """")"),"")</f>
        <v/>
      </c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</row>
    <row r="1110">
      <c r="A1110" s="12"/>
      <c r="B1110" s="12"/>
      <c r="C1110" s="12"/>
      <c r="D1110" s="291"/>
      <c r="E1110" s="291"/>
      <c r="F1110" s="13"/>
      <c r="G1110" s="291"/>
      <c r="H1110" s="12"/>
      <c r="I1110" s="12"/>
      <c r="J1110" s="12"/>
      <c r="K1110" s="12"/>
      <c r="L1110" s="335"/>
      <c r="M1110" s="30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2" t="str">
        <f>IFERROR(__xludf.DUMMYFUNCTION("IF(Account!$F1110&lt;&gt;"""", VALUE(REGEXREPLACE($I1110, ""\,"", ""."")), """")"),"")</f>
        <v/>
      </c>
      <c r="O1110" s="33" t="str">
        <f>IF(Account!$F1110&lt;&gt;"", DATEVALUE(MID($A1110,4,3) &amp; LEFT($A1110,3) &amp; RIGHT($A1110,4)) + TIMEVALUE($B1110), "")</f>
        <v/>
      </c>
      <c r="P1110" s="34" t="str">
        <f>IF(Account!$F1110&lt;&gt;"", DATEVALUE(MID($C1110,4,3) &amp; LEFT($C1110,3) &amp; RIGHT($C1110,4)), "")</f>
        <v/>
      </c>
      <c r="Q1110" s="35" t="str">
        <f t="array" ref="Q1110">IF($R1110&lt;&gt;"",IFERROR(INDEX(ISIN!$B:$B,MATCH($R1110,ISIN!$C:$C,0))),)</f>
        <v/>
      </c>
      <c r="R1110" s="36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5" t="str">
        <f t="shared" si="1"/>
        <v/>
      </c>
      <c r="T1110" s="37" t="str">
        <f t="shared" si="2"/>
        <v/>
      </c>
      <c r="U1110" s="38" t="str">
        <f t="shared" si="3"/>
        <v/>
      </c>
      <c r="V1110" s="32" t="str">
        <f t="shared" si="4"/>
        <v/>
      </c>
      <c r="W1110" s="39" t="str">
        <f>IFERROR(__xludf.DUMMYFUNCTION(" IF(Account!$F1110&lt;&gt;"""", SPLIT(Account!$F1110, "" ""), """")"),"")</f>
        <v/>
      </c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</row>
    <row r="1111">
      <c r="A1111" s="12"/>
      <c r="B1111" s="12"/>
      <c r="C1111" s="12"/>
      <c r="D1111" s="12"/>
      <c r="E1111" s="12"/>
      <c r="F1111" s="13"/>
      <c r="G1111" s="12"/>
      <c r="H1111" s="12"/>
      <c r="I1111" s="12"/>
      <c r="J1111" s="12"/>
      <c r="K1111" s="12"/>
      <c r="L1111" s="13"/>
      <c r="M1111" s="30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2" t="str">
        <f>IFERROR(__xludf.DUMMYFUNCTION("IF(Account!$F1111&lt;&gt;"""", VALUE(REGEXREPLACE($I1111, ""\,"", ""."")), """")"),"")</f>
        <v/>
      </c>
      <c r="O1111" s="33" t="str">
        <f>IF(Account!$F1111&lt;&gt;"", DATEVALUE(MID($A1111,4,3) &amp; LEFT($A1111,3) &amp; RIGHT($A1111,4)) + TIMEVALUE($B1111), "")</f>
        <v/>
      </c>
      <c r="P1111" s="34" t="str">
        <f>IF(Account!$F1111&lt;&gt;"", DATEVALUE(MID($C1111,4,3) &amp; LEFT($C1111,3) &amp; RIGHT($C1111,4)), "")</f>
        <v/>
      </c>
      <c r="Q1111" s="35" t="str">
        <f t="array" ref="Q1111">IF($R1111&lt;&gt;"",IFERROR(INDEX(ISIN!$B:$B,MATCH($R1111,ISIN!$C:$C,0))),)</f>
        <v/>
      </c>
      <c r="R1111" s="36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5" t="str">
        <f t="shared" si="1"/>
        <v/>
      </c>
      <c r="T1111" s="37" t="str">
        <f t="shared" si="2"/>
        <v/>
      </c>
      <c r="U1111" s="38" t="str">
        <f t="shared" si="3"/>
        <v/>
      </c>
      <c r="V1111" s="32" t="str">
        <f t="shared" si="4"/>
        <v/>
      </c>
      <c r="W1111" s="39" t="str">
        <f>IFERROR(__xludf.DUMMYFUNCTION(" IF(Account!$F1111&lt;&gt;"""", SPLIT(Account!$F1111, "" ""), """")"),"")</f>
        <v/>
      </c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</row>
    <row r="1112">
      <c r="A1112" s="12"/>
      <c r="B1112" s="12"/>
      <c r="C1112" s="12"/>
      <c r="D1112" s="12"/>
      <c r="E1112" s="12"/>
      <c r="F1112" s="13"/>
      <c r="G1112" s="291"/>
      <c r="H1112" s="12"/>
      <c r="I1112" s="12"/>
      <c r="J1112" s="12"/>
      <c r="K1112" s="12"/>
      <c r="L1112" s="13"/>
      <c r="M1112" s="30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2" t="str">
        <f>IFERROR(__xludf.DUMMYFUNCTION("IF(Account!$F1112&lt;&gt;"""", VALUE(REGEXREPLACE($I1112, ""\,"", ""."")), """")"),"")</f>
        <v/>
      </c>
      <c r="O1112" s="33" t="str">
        <f>IF(Account!$F1112&lt;&gt;"", DATEVALUE(MID($A1112,4,3) &amp; LEFT($A1112,3) &amp; RIGHT($A1112,4)) + TIMEVALUE($B1112), "")</f>
        <v/>
      </c>
      <c r="P1112" s="34" t="str">
        <f>IF(Account!$F1112&lt;&gt;"", DATEVALUE(MID($C1112,4,3) &amp; LEFT($C1112,3) &amp; RIGHT($C1112,4)), "")</f>
        <v/>
      </c>
      <c r="Q1112" s="35" t="str">
        <f t="array" ref="Q1112">IF($R1112&lt;&gt;"",IFERROR(INDEX(ISIN!$B:$B,MATCH($R1112,ISIN!$C:$C,0))),)</f>
        <v/>
      </c>
      <c r="R1112" s="36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5" t="str">
        <f t="shared" si="1"/>
        <v/>
      </c>
      <c r="T1112" s="37" t="str">
        <f t="shared" si="2"/>
        <v/>
      </c>
      <c r="U1112" s="38" t="str">
        <f t="shared" si="3"/>
        <v/>
      </c>
      <c r="V1112" s="32" t="str">
        <f t="shared" si="4"/>
        <v/>
      </c>
      <c r="W1112" s="39" t="str">
        <f>IFERROR(__xludf.DUMMYFUNCTION(" IF(Account!$F1112&lt;&gt;"""", SPLIT(Account!$F1112, "" ""), """")"),"")</f>
        <v/>
      </c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</row>
    <row r="1113">
      <c r="A1113" s="12"/>
      <c r="B1113" s="12"/>
      <c r="C1113" s="12"/>
      <c r="D1113" s="12"/>
      <c r="E1113" s="12"/>
      <c r="F1113" s="13"/>
      <c r="G1113" s="12"/>
      <c r="H1113" s="12"/>
      <c r="I1113" s="12"/>
      <c r="J1113" s="12"/>
      <c r="K1113" s="12"/>
      <c r="L1113" s="13"/>
      <c r="M1113" s="30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2" t="str">
        <f>IFERROR(__xludf.DUMMYFUNCTION("IF(Account!$F1113&lt;&gt;"""", VALUE(REGEXREPLACE($I1113, ""\,"", ""."")), """")"),"")</f>
        <v/>
      </c>
      <c r="O1113" s="33" t="str">
        <f>IF(Account!$F1113&lt;&gt;"", DATEVALUE(MID($A1113,4,3) &amp; LEFT($A1113,3) &amp; RIGHT($A1113,4)) + TIMEVALUE($B1113), "")</f>
        <v/>
      </c>
      <c r="P1113" s="34" t="str">
        <f>IF(Account!$F1113&lt;&gt;"", DATEVALUE(MID($C1113,4,3) &amp; LEFT($C1113,3) &amp; RIGHT($C1113,4)), "")</f>
        <v/>
      </c>
      <c r="Q1113" s="35" t="str">
        <f t="array" ref="Q1113">IF($R1113&lt;&gt;"",IFERROR(INDEX(ISIN!$B:$B,MATCH($R1113,ISIN!$C:$C,0))),)</f>
        <v/>
      </c>
      <c r="R1113" s="36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5" t="str">
        <f t="shared" si="1"/>
        <v/>
      </c>
      <c r="T1113" s="37" t="str">
        <f t="shared" si="2"/>
        <v/>
      </c>
      <c r="U1113" s="38" t="str">
        <f t="shared" si="3"/>
        <v/>
      </c>
      <c r="V1113" s="32" t="str">
        <f t="shared" si="4"/>
        <v/>
      </c>
      <c r="W1113" s="39" t="str">
        <f>IFERROR(__xludf.DUMMYFUNCTION(" IF(Account!$F1113&lt;&gt;"""", SPLIT(Account!$F1113, "" ""), """")"),"")</f>
        <v/>
      </c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</row>
    <row r="1114">
      <c r="A1114" s="12"/>
      <c r="B1114" s="12"/>
      <c r="C1114" s="12"/>
      <c r="D1114" s="12"/>
      <c r="E1114" s="12"/>
      <c r="F1114" s="13"/>
      <c r="G1114" s="291"/>
      <c r="H1114" s="12"/>
      <c r="I1114" s="12"/>
      <c r="J1114" s="12"/>
      <c r="K1114" s="12"/>
      <c r="L1114" s="13"/>
      <c r="M1114" s="30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2" t="str">
        <f>IFERROR(__xludf.DUMMYFUNCTION("IF(Account!$F1114&lt;&gt;"""", VALUE(REGEXREPLACE($I1114, ""\,"", ""."")), """")"),"")</f>
        <v/>
      </c>
      <c r="O1114" s="33" t="str">
        <f>IF(Account!$F1114&lt;&gt;"", DATEVALUE(MID($A1114,4,3) &amp; LEFT($A1114,3) &amp; RIGHT($A1114,4)) + TIMEVALUE($B1114), "")</f>
        <v/>
      </c>
      <c r="P1114" s="34" t="str">
        <f>IF(Account!$F1114&lt;&gt;"", DATEVALUE(MID($C1114,4,3) &amp; LEFT($C1114,3) &amp; RIGHT($C1114,4)), "")</f>
        <v/>
      </c>
      <c r="Q1114" s="35" t="str">
        <f t="array" ref="Q1114">IF($R1114&lt;&gt;"",IFERROR(INDEX(ISIN!$B:$B,MATCH($R1114,ISIN!$C:$C,0))),)</f>
        <v/>
      </c>
      <c r="R1114" s="36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5" t="str">
        <f t="shared" si="1"/>
        <v/>
      </c>
      <c r="T1114" s="37" t="str">
        <f t="shared" si="2"/>
        <v/>
      </c>
      <c r="U1114" s="38" t="str">
        <f t="shared" si="3"/>
        <v/>
      </c>
      <c r="V1114" s="32" t="str">
        <f t="shared" si="4"/>
        <v/>
      </c>
      <c r="W1114" s="39" t="str">
        <f>IFERROR(__xludf.DUMMYFUNCTION(" IF(Account!$F1114&lt;&gt;"""", SPLIT(Account!$F1114, "" ""), """")"),"")</f>
        <v/>
      </c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</row>
    <row r="1115">
      <c r="A1115" s="12"/>
      <c r="B1115" s="12"/>
      <c r="C1115" s="12"/>
      <c r="D1115" s="12"/>
      <c r="E1115" s="12"/>
      <c r="F1115" s="13"/>
      <c r="G1115" s="291"/>
      <c r="H1115" s="12"/>
      <c r="I1115" s="12"/>
      <c r="J1115" s="12"/>
      <c r="K1115" s="12"/>
      <c r="L1115" s="13"/>
      <c r="M1115" s="30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2" t="str">
        <f>IFERROR(__xludf.DUMMYFUNCTION("IF(Account!$F1115&lt;&gt;"""", VALUE(REGEXREPLACE($I1115, ""\,"", ""."")), """")"),"")</f>
        <v/>
      </c>
      <c r="O1115" s="33" t="str">
        <f>IF(Account!$F1115&lt;&gt;"", DATEVALUE(MID($A1115,4,3) &amp; LEFT($A1115,3) &amp; RIGHT($A1115,4)) + TIMEVALUE($B1115), "")</f>
        <v/>
      </c>
      <c r="P1115" s="34" t="str">
        <f>IF(Account!$F1115&lt;&gt;"", DATEVALUE(MID($C1115,4,3) &amp; LEFT($C1115,3) &amp; RIGHT($C1115,4)), "")</f>
        <v/>
      </c>
      <c r="Q1115" s="35" t="str">
        <f t="array" ref="Q1115">IF($R1115&lt;&gt;"",IFERROR(INDEX(ISIN!$B:$B,MATCH($R1115,ISIN!$C:$C,0))),)</f>
        <v/>
      </c>
      <c r="R1115" s="36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5" t="str">
        <f t="shared" si="1"/>
        <v/>
      </c>
      <c r="T1115" s="37" t="str">
        <f t="shared" si="2"/>
        <v/>
      </c>
      <c r="U1115" s="38" t="str">
        <f t="shared" si="3"/>
        <v/>
      </c>
      <c r="V1115" s="32" t="str">
        <f t="shared" si="4"/>
        <v/>
      </c>
      <c r="W1115" s="39" t="str">
        <f>IFERROR(__xludf.DUMMYFUNCTION(" IF(Account!$F1115&lt;&gt;"""", SPLIT(Account!$F1115, "" ""), """")"),"")</f>
        <v/>
      </c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</row>
    <row r="1116">
      <c r="A1116" s="12"/>
      <c r="B1116" s="12"/>
      <c r="C1116" s="12"/>
      <c r="D1116" s="12"/>
      <c r="E1116" s="12"/>
      <c r="F1116" s="13"/>
      <c r="G1116" s="291"/>
      <c r="H1116" s="12"/>
      <c r="I1116" s="12"/>
      <c r="J1116" s="12"/>
      <c r="K1116" s="12"/>
      <c r="L1116" s="13"/>
      <c r="M1116" s="30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2" t="str">
        <f>IFERROR(__xludf.DUMMYFUNCTION("IF(Account!$F1116&lt;&gt;"""", VALUE(REGEXREPLACE($I1116, ""\,"", ""."")), """")"),"")</f>
        <v/>
      </c>
      <c r="O1116" s="33" t="str">
        <f>IF(Account!$F1116&lt;&gt;"", DATEVALUE(MID($A1116,4,3) &amp; LEFT($A1116,3) &amp; RIGHT($A1116,4)) + TIMEVALUE($B1116), "")</f>
        <v/>
      </c>
      <c r="P1116" s="34" t="str">
        <f>IF(Account!$F1116&lt;&gt;"", DATEVALUE(MID($C1116,4,3) &amp; LEFT($C1116,3) &amp; RIGHT($C1116,4)), "")</f>
        <v/>
      </c>
      <c r="Q1116" s="35" t="str">
        <f t="array" ref="Q1116">IF($R1116&lt;&gt;"",IFERROR(INDEX(ISIN!$B:$B,MATCH($R1116,ISIN!$C:$C,0))),)</f>
        <v/>
      </c>
      <c r="R1116" s="36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5" t="str">
        <f t="shared" si="1"/>
        <v/>
      </c>
      <c r="T1116" s="37" t="str">
        <f t="shared" si="2"/>
        <v/>
      </c>
      <c r="U1116" s="38" t="str">
        <f t="shared" si="3"/>
        <v/>
      </c>
      <c r="V1116" s="32" t="str">
        <f t="shared" si="4"/>
        <v/>
      </c>
      <c r="W1116" s="39" t="str">
        <f>IFERROR(__xludf.DUMMYFUNCTION(" IF(Account!$F1116&lt;&gt;"""", SPLIT(Account!$F1116, "" ""), """")"),"")</f>
        <v/>
      </c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</row>
    <row r="1117">
      <c r="A1117" s="12"/>
      <c r="B1117" s="12"/>
      <c r="C1117" s="12"/>
      <c r="D1117" s="291"/>
      <c r="E1117" s="291"/>
      <c r="F1117" s="13"/>
      <c r="G1117" s="291"/>
      <c r="H1117" s="12"/>
      <c r="I1117" s="12"/>
      <c r="J1117" s="12"/>
      <c r="K1117" s="12"/>
      <c r="L1117" s="335"/>
      <c r="M1117" s="30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2" t="str">
        <f>IFERROR(__xludf.DUMMYFUNCTION("IF(Account!$F1117&lt;&gt;"""", VALUE(REGEXREPLACE($I1117, ""\,"", ""."")), """")"),"")</f>
        <v/>
      </c>
      <c r="O1117" s="33" t="str">
        <f>IF(Account!$F1117&lt;&gt;"", DATEVALUE(MID($A1117,4,3) &amp; LEFT($A1117,3) &amp; RIGHT($A1117,4)) + TIMEVALUE($B1117), "")</f>
        <v/>
      </c>
      <c r="P1117" s="34" t="str">
        <f>IF(Account!$F1117&lt;&gt;"", DATEVALUE(MID($C1117,4,3) &amp; LEFT($C1117,3) &amp; RIGHT($C1117,4)), "")</f>
        <v/>
      </c>
      <c r="Q1117" s="35" t="str">
        <f t="array" ref="Q1117">IF($R1117&lt;&gt;"",IFERROR(INDEX(ISIN!$B:$B,MATCH($R1117,ISIN!$C:$C,0))),)</f>
        <v/>
      </c>
      <c r="R1117" s="36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5" t="str">
        <f t="shared" si="1"/>
        <v/>
      </c>
      <c r="T1117" s="37" t="str">
        <f t="shared" si="2"/>
        <v/>
      </c>
      <c r="U1117" s="38" t="str">
        <f t="shared" si="3"/>
        <v/>
      </c>
      <c r="V1117" s="32" t="str">
        <f t="shared" si="4"/>
        <v/>
      </c>
      <c r="W1117" s="39" t="str">
        <f>IFERROR(__xludf.DUMMYFUNCTION(" IF(Account!$F1117&lt;&gt;"""", SPLIT(Account!$F1117, "" ""), """")"),"")</f>
        <v/>
      </c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</row>
    <row r="1118">
      <c r="A1118" s="12"/>
      <c r="B1118" s="12"/>
      <c r="C1118" s="12"/>
      <c r="D1118" s="291"/>
      <c r="E1118" s="291"/>
      <c r="F1118" s="13"/>
      <c r="G1118" s="291"/>
      <c r="H1118" s="12"/>
      <c r="I1118" s="12"/>
      <c r="J1118" s="12"/>
      <c r="K1118" s="12"/>
      <c r="L1118" s="335"/>
      <c r="M1118" s="30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2" t="str">
        <f>IFERROR(__xludf.DUMMYFUNCTION("IF(Account!$F1118&lt;&gt;"""", VALUE(REGEXREPLACE($I1118, ""\,"", ""."")), """")"),"")</f>
        <v/>
      </c>
      <c r="O1118" s="33" t="str">
        <f>IF(Account!$F1118&lt;&gt;"", DATEVALUE(MID($A1118,4,3) &amp; LEFT($A1118,3) &amp; RIGHT($A1118,4)) + TIMEVALUE($B1118), "")</f>
        <v/>
      </c>
      <c r="P1118" s="34" t="str">
        <f>IF(Account!$F1118&lt;&gt;"", DATEVALUE(MID($C1118,4,3) &amp; LEFT($C1118,3) &amp; RIGHT($C1118,4)), "")</f>
        <v/>
      </c>
      <c r="Q1118" s="35" t="str">
        <f t="array" ref="Q1118">IF($R1118&lt;&gt;"",IFERROR(INDEX(ISIN!$B:$B,MATCH($R1118,ISIN!$C:$C,0))),)</f>
        <v/>
      </c>
      <c r="R1118" s="36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5" t="str">
        <f t="shared" si="1"/>
        <v/>
      </c>
      <c r="T1118" s="37" t="str">
        <f t="shared" si="2"/>
        <v/>
      </c>
      <c r="U1118" s="38" t="str">
        <f t="shared" si="3"/>
        <v/>
      </c>
      <c r="V1118" s="32" t="str">
        <f t="shared" si="4"/>
        <v/>
      </c>
      <c r="W1118" s="39" t="str">
        <f>IFERROR(__xludf.DUMMYFUNCTION(" IF(Account!$F1118&lt;&gt;"""", SPLIT(Account!$F1118, "" ""), """")"),"")</f>
        <v/>
      </c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</row>
    <row r="1119">
      <c r="A1119" s="12"/>
      <c r="B1119" s="12"/>
      <c r="C1119" s="12"/>
      <c r="D1119" s="291"/>
      <c r="E1119" s="291"/>
      <c r="F1119" s="13"/>
      <c r="G1119" s="291"/>
      <c r="H1119" s="12"/>
      <c r="I1119" s="12"/>
      <c r="J1119" s="12"/>
      <c r="K1119" s="12"/>
      <c r="L1119" s="335"/>
      <c r="M1119" s="30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2" t="str">
        <f>IFERROR(__xludf.DUMMYFUNCTION("IF(Account!$F1119&lt;&gt;"""", VALUE(REGEXREPLACE($I1119, ""\,"", ""."")), """")"),"")</f>
        <v/>
      </c>
      <c r="O1119" s="33" t="str">
        <f>IF(Account!$F1119&lt;&gt;"", DATEVALUE(MID($A1119,4,3) &amp; LEFT($A1119,3) &amp; RIGHT($A1119,4)) + TIMEVALUE($B1119), "")</f>
        <v/>
      </c>
      <c r="P1119" s="34" t="str">
        <f>IF(Account!$F1119&lt;&gt;"", DATEVALUE(MID($C1119,4,3) &amp; LEFT($C1119,3) &amp; RIGHT($C1119,4)), "")</f>
        <v/>
      </c>
      <c r="Q1119" s="35" t="str">
        <f t="array" ref="Q1119">IF($R1119&lt;&gt;"",IFERROR(INDEX(ISIN!$B:$B,MATCH($R1119,ISIN!$C:$C,0))),)</f>
        <v/>
      </c>
      <c r="R1119" s="36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5" t="str">
        <f t="shared" si="1"/>
        <v/>
      </c>
      <c r="T1119" s="37" t="str">
        <f t="shared" si="2"/>
        <v/>
      </c>
      <c r="U1119" s="38" t="str">
        <f t="shared" si="3"/>
        <v/>
      </c>
      <c r="V1119" s="32" t="str">
        <f t="shared" si="4"/>
        <v/>
      </c>
      <c r="W1119" s="39" t="str">
        <f>IFERROR(__xludf.DUMMYFUNCTION(" IF(Account!$F1119&lt;&gt;"""", SPLIT(Account!$F1119, "" ""), """")"),"")</f>
        <v/>
      </c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</row>
    <row r="1120">
      <c r="A1120" s="343"/>
      <c r="B1120" s="344"/>
      <c r="C1120" s="343"/>
      <c r="F1120" s="308"/>
      <c r="G1120" s="291"/>
      <c r="H1120" s="291"/>
      <c r="I1120" s="291"/>
      <c r="L1120" s="335"/>
      <c r="M1120" s="30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2" t="str">
        <f>IFERROR(__xludf.DUMMYFUNCTION("IF(Account!$F1120&lt;&gt;"""", VALUE(REGEXREPLACE($I1120, ""\,"", ""."")), """")"),"")</f>
        <v/>
      </c>
      <c r="O1120" s="33" t="str">
        <f>IF(Account!$F1120&lt;&gt;"", DATEVALUE(MID($A1120,4,3) &amp; LEFT($A1120,3) &amp; RIGHT($A1120,4)) + TIMEVALUE($B1120), "")</f>
        <v/>
      </c>
      <c r="P1120" s="34" t="str">
        <f>IF(Account!$F1120&lt;&gt;"", DATEVALUE(MID($C1120,4,3) &amp; LEFT($C1120,3) &amp; RIGHT($C1120,4)), "")</f>
        <v/>
      </c>
      <c r="Q1120" s="35" t="str">
        <f t="array" ref="Q1120">IF($R1120&lt;&gt;"",IFERROR(INDEX(ISIN!$B:$B,MATCH($R1120,ISIN!$C:$C,0))),)</f>
        <v/>
      </c>
      <c r="R1120" s="36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5" t="str">
        <f t="shared" si="1"/>
        <v/>
      </c>
      <c r="T1120" s="37" t="str">
        <f t="shared" si="2"/>
        <v/>
      </c>
      <c r="U1120" s="38" t="str">
        <f t="shared" si="3"/>
        <v/>
      </c>
      <c r="V1120" s="32" t="str">
        <f t="shared" si="4"/>
        <v/>
      </c>
      <c r="W1120" s="39" t="str">
        <f>IFERROR(__xludf.DUMMYFUNCTION(" IF(Account!$F1120&lt;&gt;"""", SPLIT(Account!$F1120, "" ""), """")"),"")</f>
        <v/>
      </c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</row>
    <row r="1121">
      <c r="A1121" s="343"/>
      <c r="B1121" s="344"/>
      <c r="C1121" s="343"/>
      <c r="F1121" s="308"/>
      <c r="G1121" s="50"/>
      <c r="L1121" s="308"/>
      <c r="M1121" s="30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2" t="str">
        <f>IFERROR(__xludf.DUMMYFUNCTION("IF(Account!$F1121&lt;&gt;"""", VALUE(REGEXREPLACE($I1121, ""\,"", ""."")), """")"),"")</f>
        <v/>
      </c>
      <c r="O1121" s="33" t="str">
        <f>IF(Account!$F1121&lt;&gt;"", DATEVALUE(MID($A1121,4,3) &amp; LEFT($A1121,3) &amp; RIGHT($A1121,4)) + TIMEVALUE($B1121), "")</f>
        <v/>
      </c>
      <c r="P1121" s="34" t="str">
        <f>IF(Account!$F1121&lt;&gt;"", DATEVALUE(MID($C1121,4,3) &amp; LEFT($C1121,3) &amp; RIGHT($C1121,4)), "")</f>
        <v/>
      </c>
      <c r="Q1121" s="35" t="str">
        <f t="array" ref="Q1121">IF($R1121&lt;&gt;"",IFERROR(INDEX(ISIN!$B:$B,MATCH($R1121,ISIN!$C:$C,0))),)</f>
        <v/>
      </c>
      <c r="R1121" s="36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5" t="str">
        <f t="shared" si="1"/>
        <v/>
      </c>
      <c r="T1121" s="37" t="str">
        <f t="shared" si="2"/>
        <v/>
      </c>
      <c r="U1121" s="38" t="str">
        <f t="shared" si="3"/>
        <v/>
      </c>
      <c r="V1121" s="32" t="str">
        <f t="shared" si="4"/>
        <v/>
      </c>
      <c r="W1121" s="39" t="str">
        <f>IFERROR(__xludf.DUMMYFUNCTION(" IF(Account!$F1121&lt;&gt;"""", SPLIT(Account!$F1121, "" ""), """")"),"")</f>
        <v/>
      </c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</row>
    <row r="1122">
      <c r="A1122" s="343"/>
      <c r="B1122" s="344"/>
      <c r="C1122" s="343"/>
      <c r="F1122" s="308"/>
      <c r="G1122" s="291"/>
      <c r="L1122" s="308"/>
      <c r="M1122" s="30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2" t="str">
        <f>IFERROR(__xludf.DUMMYFUNCTION("IF(Account!$F1122&lt;&gt;"""", VALUE(REGEXREPLACE($I1122, ""\,"", ""."")), """")"),"")</f>
        <v/>
      </c>
      <c r="O1122" s="33" t="str">
        <f>IF(Account!$F1122&lt;&gt;"", DATEVALUE(MID($A1122,4,3) &amp; LEFT($A1122,3) &amp; RIGHT($A1122,4)) + TIMEVALUE($B1122), "")</f>
        <v/>
      </c>
      <c r="P1122" s="34" t="str">
        <f>IF(Account!$F1122&lt;&gt;"", DATEVALUE(MID($C1122,4,3) &amp; LEFT($C1122,3) &amp; RIGHT($C1122,4)), "")</f>
        <v/>
      </c>
      <c r="Q1122" s="35" t="str">
        <f t="array" ref="Q1122">IF($R1122&lt;&gt;"",IFERROR(INDEX(ISIN!$B:$B,MATCH($R1122,ISIN!$C:$C,0))),)</f>
        <v/>
      </c>
      <c r="R1122" s="36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5" t="str">
        <f t="shared" si="1"/>
        <v/>
      </c>
      <c r="T1122" s="37" t="str">
        <f t="shared" si="2"/>
        <v/>
      </c>
      <c r="U1122" s="38" t="str">
        <f t="shared" si="3"/>
        <v/>
      </c>
      <c r="V1122" s="32" t="str">
        <f t="shared" si="4"/>
        <v/>
      </c>
      <c r="W1122" s="39" t="str">
        <f>IFERROR(__xludf.DUMMYFUNCTION(" IF(Account!$F1122&lt;&gt;"""", SPLIT(Account!$F1122, "" ""), """")"),"")</f>
        <v/>
      </c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</row>
    <row r="1123">
      <c r="A1123" s="343"/>
      <c r="B1123" s="344"/>
      <c r="C1123" s="343"/>
      <c r="F1123" s="308"/>
      <c r="G1123" s="50"/>
      <c r="L1123" s="308"/>
      <c r="M1123" s="30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2" t="str">
        <f>IFERROR(__xludf.DUMMYFUNCTION("IF(Account!$F1123&lt;&gt;"""", VALUE(REGEXREPLACE($I1123, ""\,"", ""."")), """")"),"")</f>
        <v/>
      </c>
      <c r="O1123" s="33" t="str">
        <f>IF(Account!$F1123&lt;&gt;"", DATEVALUE(MID($A1123,4,3) &amp; LEFT($A1123,3) &amp; RIGHT($A1123,4)) + TIMEVALUE($B1123), "")</f>
        <v/>
      </c>
      <c r="P1123" s="34" t="str">
        <f>IF(Account!$F1123&lt;&gt;"", DATEVALUE(MID($C1123,4,3) &amp; LEFT($C1123,3) &amp; RIGHT($C1123,4)), "")</f>
        <v/>
      </c>
      <c r="Q1123" s="35" t="str">
        <f t="array" ref="Q1123">IF($R1123&lt;&gt;"",IFERROR(INDEX(ISIN!$B:$B,MATCH($R1123,ISIN!$C:$C,0))),)</f>
        <v/>
      </c>
      <c r="R1123" s="36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5" t="str">
        <f t="shared" si="1"/>
        <v/>
      </c>
      <c r="T1123" s="37" t="str">
        <f t="shared" si="2"/>
        <v/>
      </c>
      <c r="U1123" s="38" t="str">
        <f t="shared" si="3"/>
        <v/>
      </c>
      <c r="V1123" s="32" t="str">
        <f t="shared" si="4"/>
        <v/>
      </c>
      <c r="W1123" s="39" t="str">
        <f>IFERROR(__xludf.DUMMYFUNCTION(" IF(Account!$F1123&lt;&gt;"""", SPLIT(Account!$F1123, "" ""), """")"),"")</f>
        <v/>
      </c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</row>
    <row r="1124">
      <c r="A1124" s="343"/>
      <c r="B1124" s="344"/>
      <c r="C1124" s="343"/>
      <c r="F1124" s="308"/>
      <c r="G1124" s="291"/>
      <c r="L1124" s="308"/>
      <c r="M1124" s="30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2" t="str">
        <f>IFERROR(__xludf.DUMMYFUNCTION("IF(Account!$F1124&lt;&gt;"""", VALUE(REGEXREPLACE($I1124, ""\,"", ""."")), """")"),"")</f>
        <v/>
      </c>
      <c r="O1124" s="33" t="str">
        <f>IF(Account!$F1124&lt;&gt;"", DATEVALUE(MID($A1124,4,3) &amp; LEFT($A1124,3) &amp; RIGHT($A1124,4)) + TIMEVALUE($B1124), "")</f>
        <v/>
      </c>
      <c r="P1124" s="34" t="str">
        <f>IF(Account!$F1124&lt;&gt;"", DATEVALUE(MID($C1124,4,3) &amp; LEFT($C1124,3) &amp; RIGHT($C1124,4)), "")</f>
        <v/>
      </c>
      <c r="Q1124" s="35" t="str">
        <f t="array" ref="Q1124">IF($R1124&lt;&gt;"",IFERROR(INDEX(ISIN!$B:$B,MATCH($R1124,ISIN!$C:$C,0))),)</f>
        <v/>
      </c>
      <c r="R1124" s="36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5" t="str">
        <f t="shared" si="1"/>
        <v/>
      </c>
      <c r="T1124" s="37" t="str">
        <f t="shared" si="2"/>
        <v/>
      </c>
      <c r="U1124" s="38" t="str">
        <f t="shared" si="3"/>
        <v/>
      </c>
      <c r="V1124" s="32" t="str">
        <f t="shared" si="4"/>
        <v/>
      </c>
      <c r="W1124" s="39" t="str">
        <f>IFERROR(__xludf.DUMMYFUNCTION(" IF(Account!$F1124&lt;&gt;"""", SPLIT(Account!$F1124, "" ""), """")"),"")</f>
        <v/>
      </c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</row>
    <row r="1125">
      <c r="A1125" s="343"/>
      <c r="B1125" s="344"/>
      <c r="C1125" s="343"/>
      <c r="F1125" s="308"/>
      <c r="G1125" s="291"/>
      <c r="L1125" s="308"/>
      <c r="M1125" s="30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2" t="str">
        <f>IFERROR(__xludf.DUMMYFUNCTION("IF(Account!$F1125&lt;&gt;"""", VALUE(REGEXREPLACE($I1125, ""\,"", ""."")), """")"),"")</f>
        <v/>
      </c>
      <c r="O1125" s="33" t="str">
        <f>IF(Account!$F1125&lt;&gt;"", DATEVALUE(MID($A1125,4,3) &amp; LEFT($A1125,3) &amp; RIGHT($A1125,4)) + TIMEVALUE($B1125), "")</f>
        <v/>
      </c>
      <c r="P1125" s="34" t="str">
        <f>IF(Account!$F1125&lt;&gt;"", DATEVALUE(MID($C1125,4,3) &amp; LEFT($C1125,3) &amp; RIGHT($C1125,4)), "")</f>
        <v/>
      </c>
      <c r="Q1125" s="35" t="str">
        <f t="array" ref="Q1125">IF($R1125&lt;&gt;"",IFERROR(INDEX(ISIN!$B:$B,MATCH($R1125,ISIN!$C:$C,0))),)</f>
        <v/>
      </c>
      <c r="R1125" s="36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5" t="str">
        <f t="shared" si="1"/>
        <v/>
      </c>
      <c r="T1125" s="37" t="str">
        <f t="shared" si="2"/>
        <v/>
      </c>
      <c r="U1125" s="38" t="str">
        <f t="shared" si="3"/>
        <v/>
      </c>
      <c r="V1125" s="32" t="str">
        <f t="shared" si="4"/>
        <v/>
      </c>
      <c r="W1125" s="39" t="str">
        <f>IFERROR(__xludf.DUMMYFUNCTION(" IF(Account!$F1125&lt;&gt;"""", SPLIT(Account!$F1125, "" ""), """")"),"")</f>
        <v/>
      </c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</row>
    <row r="1126">
      <c r="A1126" s="343"/>
      <c r="B1126" s="344"/>
      <c r="C1126" s="343"/>
      <c r="F1126" s="308"/>
      <c r="G1126" s="291"/>
      <c r="L1126" s="308"/>
      <c r="M1126" s="30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2" t="str">
        <f>IFERROR(__xludf.DUMMYFUNCTION("IF(Account!$F1126&lt;&gt;"""", VALUE(REGEXREPLACE($I1126, ""\,"", ""."")), """")"),"")</f>
        <v/>
      </c>
      <c r="O1126" s="33" t="str">
        <f>IF(Account!$F1126&lt;&gt;"", DATEVALUE(MID($A1126,4,3) &amp; LEFT($A1126,3) &amp; RIGHT($A1126,4)) + TIMEVALUE($B1126), "")</f>
        <v/>
      </c>
      <c r="P1126" s="34" t="str">
        <f>IF(Account!$F1126&lt;&gt;"", DATEVALUE(MID($C1126,4,3) &amp; LEFT($C1126,3) &amp; RIGHT($C1126,4)), "")</f>
        <v/>
      </c>
      <c r="Q1126" s="35" t="str">
        <f t="array" ref="Q1126">IF($R1126&lt;&gt;"",IFERROR(INDEX(ISIN!$B:$B,MATCH($R1126,ISIN!$C:$C,0))),)</f>
        <v/>
      </c>
      <c r="R1126" s="36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5" t="str">
        <f t="shared" si="1"/>
        <v/>
      </c>
      <c r="T1126" s="37" t="str">
        <f t="shared" si="2"/>
        <v/>
      </c>
      <c r="U1126" s="38" t="str">
        <f t="shared" si="3"/>
        <v/>
      </c>
      <c r="V1126" s="32" t="str">
        <f t="shared" si="4"/>
        <v/>
      </c>
      <c r="W1126" s="39" t="str">
        <f>IFERROR(__xludf.DUMMYFUNCTION(" IF(Account!$F1126&lt;&gt;"""", SPLIT(Account!$F1126, "" ""), """")"),"")</f>
        <v/>
      </c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</row>
    <row r="1127">
      <c r="A1127" s="343"/>
      <c r="B1127" s="344"/>
      <c r="C1127" s="343"/>
      <c r="F1127" s="308"/>
      <c r="G1127" s="50"/>
      <c r="L1127" s="308"/>
      <c r="M1127" s="30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2" t="str">
        <f>IFERROR(__xludf.DUMMYFUNCTION("IF(Account!$F1127&lt;&gt;"""", VALUE(REGEXREPLACE($I1127, ""\,"", ""."")), """")"),"")</f>
        <v/>
      </c>
      <c r="O1127" s="33" t="str">
        <f>IF(Account!$F1127&lt;&gt;"", DATEVALUE(MID($A1127,4,3) &amp; LEFT($A1127,3) &amp; RIGHT($A1127,4)) + TIMEVALUE($B1127), "")</f>
        <v/>
      </c>
      <c r="P1127" s="34" t="str">
        <f>IF(Account!$F1127&lt;&gt;"", DATEVALUE(MID($C1127,4,3) &amp; LEFT($C1127,3) &amp; RIGHT($C1127,4)), "")</f>
        <v/>
      </c>
      <c r="Q1127" s="35" t="str">
        <f t="array" ref="Q1127">IF($R1127&lt;&gt;"",IFERROR(INDEX(ISIN!$B:$B,MATCH($R1127,ISIN!$C:$C,0))),)</f>
        <v/>
      </c>
      <c r="R1127" s="36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5" t="str">
        <f t="shared" si="1"/>
        <v/>
      </c>
      <c r="T1127" s="37" t="str">
        <f t="shared" si="2"/>
        <v/>
      </c>
      <c r="U1127" s="38" t="str">
        <f t="shared" si="3"/>
        <v/>
      </c>
      <c r="V1127" s="32" t="str">
        <f t="shared" si="4"/>
        <v/>
      </c>
      <c r="W1127" s="39" t="str">
        <f>IFERROR(__xludf.DUMMYFUNCTION(" IF(Account!$F1127&lt;&gt;"""", SPLIT(Account!$F1127, "" ""), """")"),"")</f>
        <v/>
      </c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</row>
    <row r="1128">
      <c r="A1128" s="343"/>
      <c r="B1128" s="344"/>
      <c r="C1128" s="343"/>
      <c r="F1128" s="308"/>
      <c r="G1128" s="291"/>
      <c r="L1128" s="308"/>
      <c r="M1128" s="30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2" t="str">
        <f>IFERROR(__xludf.DUMMYFUNCTION("IF(Account!$F1128&lt;&gt;"""", VALUE(REGEXREPLACE($I1128, ""\,"", ""."")), """")"),"")</f>
        <v/>
      </c>
      <c r="O1128" s="33" t="str">
        <f>IF(Account!$F1128&lt;&gt;"", DATEVALUE(MID($A1128,4,3) &amp; LEFT($A1128,3) &amp; RIGHT($A1128,4)) + TIMEVALUE($B1128), "")</f>
        <v/>
      </c>
      <c r="P1128" s="34" t="str">
        <f>IF(Account!$F1128&lt;&gt;"", DATEVALUE(MID($C1128,4,3) &amp; LEFT($C1128,3) &amp; RIGHT($C1128,4)), "")</f>
        <v/>
      </c>
      <c r="Q1128" s="35" t="str">
        <f t="array" ref="Q1128">IF($R1128&lt;&gt;"",IFERROR(INDEX(ISIN!$B:$B,MATCH($R1128,ISIN!$C:$C,0))),)</f>
        <v/>
      </c>
      <c r="R1128" s="36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5" t="str">
        <f t="shared" si="1"/>
        <v/>
      </c>
      <c r="T1128" s="37" t="str">
        <f t="shared" si="2"/>
        <v/>
      </c>
      <c r="U1128" s="38" t="str">
        <f t="shared" si="3"/>
        <v/>
      </c>
      <c r="V1128" s="32" t="str">
        <f t="shared" si="4"/>
        <v/>
      </c>
      <c r="W1128" s="39" t="str">
        <f>IFERROR(__xludf.DUMMYFUNCTION(" IF(Account!$F1128&lt;&gt;"""", SPLIT(Account!$F1128, "" ""), """")"),"")</f>
        <v/>
      </c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</row>
    <row r="1129">
      <c r="A1129" s="343"/>
      <c r="B1129" s="344"/>
      <c r="C1129" s="343"/>
      <c r="F1129" s="308"/>
      <c r="G1129" s="50"/>
      <c r="L1129" s="308"/>
      <c r="M1129" s="30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2" t="str">
        <f>IFERROR(__xludf.DUMMYFUNCTION("IF(Account!$F1129&lt;&gt;"""", VALUE(REGEXREPLACE($I1129, ""\,"", ""."")), """")"),"")</f>
        <v/>
      </c>
      <c r="O1129" s="33" t="str">
        <f>IF(Account!$F1129&lt;&gt;"", DATEVALUE(MID($A1129,4,3) &amp; LEFT($A1129,3) &amp; RIGHT($A1129,4)) + TIMEVALUE($B1129), "")</f>
        <v/>
      </c>
      <c r="P1129" s="34" t="str">
        <f>IF(Account!$F1129&lt;&gt;"", DATEVALUE(MID($C1129,4,3) &amp; LEFT($C1129,3) &amp; RIGHT($C1129,4)), "")</f>
        <v/>
      </c>
      <c r="Q1129" s="35" t="str">
        <f t="array" ref="Q1129">IF($R1129&lt;&gt;"",IFERROR(INDEX(ISIN!$B:$B,MATCH($R1129,ISIN!$C:$C,0))),)</f>
        <v/>
      </c>
      <c r="R1129" s="36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5" t="str">
        <f t="shared" si="1"/>
        <v/>
      </c>
      <c r="T1129" s="37" t="str">
        <f t="shared" si="2"/>
        <v/>
      </c>
      <c r="U1129" s="38" t="str">
        <f t="shared" si="3"/>
        <v/>
      </c>
      <c r="V1129" s="32" t="str">
        <f t="shared" si="4"/>
        <v/>
      </c>
      <c r="W1129" s="39" t="str">
        <f>IFERROR(__xludf.DUMMYFUNCTION(" IF(Account!$F1129&lt;&gt;"""", SPLIT(Account!$F1129, "" ""), """")"),"")</f>
        <v/>
      </c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</row>
    <row r="1130">
      <c r="A1130" s="343"/>
      <c r="B1130" s="344"/>
      <c r="C1130" s="343"/>
      <c r="F1130" s="308"/>
      <c r="G1130" s="291"/>
      <c r="L1130" s="308"/>
      <c r="M1130" s="30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2" t="str">
        <f>IFERROR(__xludf.DUMMYFUNCTION("IF(Account!$F1130&lt;&gt;"""", VALUE(REGEXREPLACE($I1130, ""\,"", ""."")), """")"),"")</f>
        <v/>
      </c>
      <c r="O1130" s="33" t="str">
        <f>IF(Account!$F1130&lt;&gt;"", DATEVALUE(MID($A1130,4,3) &amp; LEFT($A1130,3) &amp; RIGHT($A1130,4)) + TIMEVALUE($B1130), "")</f>
        <v/>
      </c>
      <c r="P1130" s="34" t="str">
        <f>IF(Account!$F1130&lt;&gt;"", DATEVALUE(MID($C1130,4,3) &amp; LEFT($C1130,3) &amp; RIGHT($C1130,4)), "")</f>
        <v/>
      </c>
      <c r="Q1130" s="35" t="str">
        <f t="array" ref="Q1130">IF($R1130&lt;&gt;"",IFERROR(INDEX(ISIN!$B:$B,MATCH($R1130,ISIN!$C:$C,0))),)</f>
        <v/>
      </c>
      <c r="R1130" s="36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5" t="str">
        <f t="shared" si="1"/>
        <v/>
      </c>
      <c r="T1130" s="37" t="str">
        <f t="shared" si="2"/>
        <v/>
      </c>
      <c r="U1130" s="38" t="str">
        <f t="shared" si="3"/>
        <v/>
      </c>
      <c r="V1130" s="32" t="str">
        <f t="shared" si="4"/>
        <v/>
      </c>
      <c r="W1130" s="39" t="str">
        <f>IFERROR(__xludf.DUMMYFUNCTION(" IF(Account!$F1130&lt;&gt;"""", SPLIT(Account!$F1130, "" ""), """")"),"")</f>
        <v/>
      </c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</row>
    <row r="1131">
      <c r="A1131" s="343"/>
      <c r="B1131" s="344"/>
      <c r="C1131" s="343"/>
      <c r="F1131" s="308"/>
      <c r="G1131" s="291"/>
      <c r="L1131" s="308"/>
      <c r="M1131" s="30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2" t="str">
        <f>IFERROR(__xludf.DUMMYFUNCTION("IF(Account!$F1131&lt;&gt;"""", VALUE(REGEXREPLACE($I1131, ""\,"", ""."")), """")"),"")</f>
        <v/>
      </c>
      <c r="O1131" s="33" t="str">
        <f>IF(Account!$F1131&lt;&gt;"", DATEVALUE(MID($A1131,4,3) &amp; LEFT($A1131,3) &amp; RIGHT($A1131,4)) + TIMEVALUE($B1131), "")</f>
        <v/>
      </c>
      <c r="P1131" s="34" t="str">
        <f>IF(Account!$F1131&lt;&gt;"", DATEVALUE(MID($C1131,4,3) &amp; LEFT($C1131,3) &amp; RIGHT($C1131,4)), "")</f>
        <v/>
      </c>
      <c r="Q1131" s="35" t="str">
        <f t="array" ref="Q1131">IF($R1131&lt;&gt;"",IFERROR(INDEX(ISIN!$B:$B,MATCH($R1131,ISIN!$C:$C,0))),)</f>
        <v/>
      </c>
      <c r="R1131" s="36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5" t="str">
        <f t="shared" si="1"/>
        <v/>
      </c>
      <c r="T1131" s="37" t="str">
        <f t="shared" si="2"/>
        <v/>
      </c>
      <c r="U1131" s="38" t="str">
        <f t="shared" si="3"/>
        <v/>
      </c>
      <c r="V1131" s="32" t="str">
        <f t="shared" si="4"/>
        <v/>
      </c>
      <c r="W1131" s="39" t="str">
        <f>IFERROR(__xludf.DUMMYFUNCTION(" IF(Account!$F1131&lt;&gt;"""", SPLIT(Account!$F1131, "" ""), """")"),"")</f>
        <v/>
      </c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</row>
    <row r="1132">
      <c r="A1132" s="343"/>
      <c r="B1132" s="344"/>
      <c r="C1132" s="343"/>
      <c r="F1132" s="308"/>
      <c r="G1132" s="291"/>
      <c r="L1132" s="308"/>
      <c r="M1132" s="30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2" t="str">
        <f>IFERROR(__xludf.DUMMYFUNCTION("IF(Account!$F1132&lt;&gt;"""", VALUE(REGEXREPLACE($I1132, ""\,"", ""."")), """")"),"")</f>
        <v/>
      </c>
      <c r="O1132" s="33" t="str">
        <f>IF(Account!$F1132&lt;&gt;"", DATEVALUE(MID($A1132,4,3) &amp; LEFT($A1132,3) &amp; RIGHT($A1132,4)) + TIMEVALUE($B1132), "")</f>
        <v/>
      </c>
      <c r="P1132" s="34" t="str">
        <f>IF(Account!$F1132&lt;&gt;"", DATEVALUE(MID($C1132,4,3) &amp; LEFT($C1132,3) &amp; RIGHT($C1132,4)), "")</f>
        <v/>
      </c>
      <c r="Q1132" s="35" t="str">
        <f t="array" ref="Q1132">IF($R1132&lt;&gt;"",IFERROR(INDEX(ISIN!$B:$B,MATCH($R1132,ISIN!$C:$C,0))),)</f>
        <v/>
      </c>
      <c r="R1132" s="36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5" t="str">
        <f t="shared" si="1"/>
        <v/>
      </c>
      <c r="T1132" s="37" t="str">
        <f t="shared" si="2"/>
        <v/>
      </c>
      <c r="U1132" s="38" t="str">
        <f t="shared" si="3"/>
        <v/>
      </c>
      <c r="V1132" s="32" t="str">
        <f t="shared" si="4"/>
        <v/>
      </c>
      <c r="W1132" s="39" t="str">
        <f>IFERROR(__xludf.DUMMYFUNCTION(" IF(Account!$F1132&lt;&gt;"""", SPLIT(Account!$F1132, "" ""), """")"),"")</f>
        <v/>
      </c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</row>
    <row r="1133">
      <c r="A1133" s="343"/>
      <c r="B1133" s="344"/>
      <c r="C1133" s="343"/>
      <c r="F1133" s="308"/>
      <c r="G1133" s="50"/>
      <c r="L1133" s="308"/>
      <c r="M1133" s="30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2" t="str">
        <f>IFERROR(__xludf.DUMMYFUNCTION("IF(Account!$F1133&lt;&gt;"""", VALUE(REGEXREPLACE($I1133, ""\,"", ""."")), """")"),"")</f>
        <v/>
      </c>
      <c r="O1133" s="33" t="str">
        <f>IF(Account!$F1133&lt;&gt;"", DATEVALUE(MID($A1133,4,3) &amp; LEFT($A1133,3) &amp; RIGHT($A1133,4)) + TIMEVALUE($B1133), "")</f>
        <v/>
      </c>
      <c r="P1133" s="34" t="str">
        <f>IF(Account!$F1133&lt;&gt;"", DATEVALUE(MID($C1133,4,3) &amp; LEFT($C1133,3) &amp; RIGHT($C1133,4)), "")</f>
        <v/>
      </c>
      <c r="Q1133" s="35" t="str">
        <f t="array" ref="Q1133">IF($R1133&lt;&gt;"",IFERROR(INDEX(ISIN!$B:$B,MATCH($R1133,ISIN!$C:$C,0))),)</f>
        <v/>
      </c>
      <c r="R1133" s="36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5" t="str">
        <f t="shared" si="1"/>
        <v/>
      </c>
      <c r="T1133" s="37" t="str">
        <f t="shared" si="2"/>
        <v/>
      </c>
      <c r="U1133" s="38" t="str">
        <f t="shared" si="3"/>
        <v/>
      </c>
      <c r="V1133" s="32" t="str">
        <f t="shared" si="4"/>
        <v/>
      </c>
      <c r="W1133" s="39" t="str">
        <f>IFERROR(__xludf.DUMMYFUNCTION(" IF(Account!$F1133&lt;&gt;"""", SPLIT(Account!$F1133, "" ""), """")"),"")</f>
        <v/>
      </c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</row>
    <row r="1134">
      <c r="A1134" s="343"/>
      <c r="B1134" s="344"/>
      <c r="C1134" s="343"/>
      <c r="F1134" s="308"/>
      <c r="G1134" s="291"/>
      <c r="L1134" s="308"/>
      <c r="M1134" s="30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2" t="str">
        <f>IFERROR(__xludf.DUMMYFUNCTION("IF(Account!$F1134&lt;&gt;"""", VALUE(REGEXREPLACE($I1134, ""\,"", ""."")), """")"),"")</f>
        <v/>
      </c>
      <c r="O1134" s="33" t="str">
        <f>IF(Account!$F1134&lt;&gt;"", DATEVALUE(MID($A1134,4,3) &amp; LEFT($A1134,3) &amp; RIGHT($A1134,4)) + TIMEVALUE($B1134), "")</f>
        <v/>
      </c>
      <c r="P1134" s="34" t="str">
        <f>IF(Account!$F1134&lt;&gt;"", DATEVALUE(MID($C1134,4,3) &amp; LEFT($C1134,3) &amp; RIGHT($C1134,4)), "")</f>
        <v/>
      </c>
      <c r="Q1134" s="35" t="str">
        <f t="array" ref="Q1134">IF($R1134&lt;&gt;"",IFERROR(INDEX(ISIN!$B:$B,MATCH($R1134,ISIN!$C:$C,0))),)</f>
        <v/>
      </c>
      <c r="R1134" s="36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5" t="str">
        <f t="shared" si="1"/>
        <v/>
      </c>
      <c r="T1134" s="37" t="str">
        <f t="shared" si="2"/>
        <v/>
      </c>
      <c r="U1134" s="38" t="str">
        <f t="shared" si="3"/>
        <v/>
      </c>
      <c r="V1134" s="32" t="str">
        <f t="shared" si="4"/>
        <v/>
      </c>
      <c r="W1134" s="39" t="str">
        <f>IFERROR(__xludf.DUMMYFUNCTION(" IF(Account!$F1134&lt;&gt;"""", SPLIT(Account!$F1134, "" ""), """")"),"")</f>
        <v/>
      </c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</row>
    <row r="1135">
      <c r="A1135" s="343"/>
      <c r="B1135" s="344"/>
      <c r="C1135" s="343"/>
      <c r="F1135" s="308"/>
      <c r="G1135" s="50"/>
      <c r="L1135" s="308"/>
      <c r="M1135" s="30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2" t="str">
        <f>IFERROR(__xludf.DUMMYFUNCTION("IF(Account!$F1135&lt;&gt;"""", VALUE(REGEXREPLACE($I1135, ""\,"", ""."")), """")"),"")</f>
        <v/>
      </c>
      <c r="O1135" s="33" t="str">
        <f>IF(Account!$F1135&lt;&gt;"", DATEVALUE(MID($A1135,4,3) &amp; LEFT($A1135,3) &amp; RIGHT($A1135,4)) + TIMEVALUE($B1135), "")</f>
        <v/>
      </c>
      <c r="P1135" s="34" t="str">
        <f>IF(Account!$F1135&lt;&gt;"", DATEVALUE(MID($C1135,4,3) &amp; LEFT($C1135,3) &amp; RIGHT($C1135,4)), "")</f>
        <v/>
      </c>
      <c r="Q1135" s="35" t="str">
        <f t="array" ref="Q1135">IF($R1135&lt;&gt;"",IFERROR(INDEX(ISIN!$B:$B,MATCH($R1135,ISIN!$C:$C,0))),)</f>
        <v/>
      </c>
      <c r="R1135" s="36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5" t="str">
        <f t="shared" si="1"/>
        <v/>
      </c>
      <c r="T1135" s="37" t="str">
        <f t="shared" si="2"/>
        <v/>
      </c>
      <c r="U1135" s="38" t="str">
        <f t="shared" si="3"/>
        <v/>
      </c>
      <c r="V1135" s="32" t="str">
        <f t="shared" si="4"/>
        <v/>
      </c>
      <c r="W1135" s="39" t="str">
        <f>IFERROR(__xludf.DUMMYFUNCTION(" IF(Account!$F1135&lt;&gt;"""", SPLIT(Account!$F1135, "" ""), """")"),"")</f>
        <v/>
      </c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</row>
    <row r="1136">
      <c r="A1136" s="343"/>
      <c r="B1136" s="344"/>
      <c r="C1136" s="343"/>
      <c r="F1136" s="308"/>
      <c r="G1136" s="291"/>
      <c r="L1136" s="308"/>
      <c r="M1136" s="30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2" t="str">
        <f>IFERROR(__xludf.DUMMYFUNCTION("IF(Account!$F1136&lt;&gt;"""", VALUE(REGEXREPLACE($I1136, ""\,"", ""."")), """")"),"")</f>
        <v/>
      </c>
      <c r="O1136" s="33" t="str">
        <f>IF(Account!$F1136&lt;&gt;"", DATEVALUE(MID($A1136,4,3) &amp; LEFT($A1136,3) &amp; RIGHT($A1136,4)) + TIMEVALUE($B1136), "")</f>
        <v/>
      </c>
      <c r="P1136" s="34" t="str">
        <f>IF(Account!$F1136&lt;&gt;"", DATEVALUE(MID($C1136,4,3) &amp; LEFT($C1136,3) &amp; RIGHT($C1136,4)), "")</f>
        <v/>
      </c>
      <c r="Q1136" s="35" t="str">
        <f t="array" ref="Q1136">IF($R1136&lt;&gt;"",IFERROR(INDEX(ISIN!$B:$B,MATCH($R1136,ISIN!$C:$C,0))),)</f>
        <v/>
      </c>
      <c r="R1136" s="36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5" t="str">
        <f t="shared" si="1"/>
        <v/>
      </c>
      <c r="T1136" s="37" t="str">
        <f t="shared" si="2"/>
        <v/>
      </c>
      <c r="U1136" s="38" t="str">
        <f t="shared" si="3"/>
        <v/>
      </c>
      <c r="V1136" s="32" t="str">
        <f t="shared" si="4"/>
        <v/>
      </c>
      <c r="W1136" s="39" t="str">
        <f>IFERROR(__xludf.DUMMYFUNCTION(" IF(Account!$F1136&lt;&gt;"""", SPLIT(Account!$F1136, "" ""), """")"),"")</f>
        <v/>
      </c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</row>
    <row r="1137">
      <c r="A1137" s="343"/>
      <c r="B1137" s="344"/>
      <c r="C1137" s="343"/>
      <c r="F1137" s="308"/>
      <c r="G1137" s="50"/>
      <c r="L1137" s="308"/>
      <c r="M1137" s="30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2" t="str">
        <f>IFERROR(__xludf.DUMMYFUNCTION("IF(Account!$F1137&lt;&gt;"""", VALUE(REGEXREPLACE($I1137, ""\,"", ""."")), """")"),"")</f>
        <v/>
      </c>
      <c r="O1137" s="33" t="str">
        <f>IF(Account!$F1137&lt;&gt;"", DATEVALUE(MID($A1137,4,3) &amp; LEFT($A1137,3) &amp; RIGHT($A1137,4)) + TIMEVALUE($B1137), "")</f>
        <v/>
      </c>
      <c r="P1137" s="34" t="str">
        <f>IF(Account!$F1137&lt;&gt;"", DATEVALUE(MID($C1137,4,3) &amp; LEFT($C1137,3) &amp; RIGHT($C1137,4)), "")</f>
        <v/>
      </c>
      <c r="Q1137" s="35" t="str">
        <f t="array" ref="Q1137">IF($R1137&lt;&gt;"",IFERROR(INDEX(ISIN!$B:$B,MATCH($R1137,ISIN!$C:$C,0))),)</f>
        <v/>
      </c>
      <c r="R1137" s="36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5" t="str">
        <f t="shared" si="1"/>
        <v/>
      </c>
      <c r="T1137" s="37" t="str">
        <f t="shared" si="2"/>
        <v/>
      </c>
      <c r="U1137" s="38" t="str">
        <f t="shared" si="3"/>
        <v/>
      </c>
      <c r="V1137" s="32" t="str">
        <f t="shared" si="4"/>
        <v/>
      </c>
      <c r="W1137" s="39" t="str">
        <f>IFERROR(__xludf.DUMMYFUNCTION(" IF(Account!$F1137&lt;&gt;"""", SPLIT(Account!$F1137, "" ""), """")"),"")</f>
        <v/>
      </c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</row>
    <row r="1138">
      <c r="A1138" s="343"/>
      <c r="B1138" s="344"/>
      <c r="C1138" s="343"/>
      <c r="F1138" s="308"/>
      <c r="G1138" s="291"/>
      <c r="L1138" s="308"/>
      <c r="M1138" s="30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2" t="str">
        <f>IFERROR(__xludf.DUMMYFUNCTION("IF(Account!$F1138&lt;&gt;"""", VALUE(REGEXREPLACE($I1138, ""\,"", ""."")), """")"),"")</f>
        <v/>
      </c>
      <c r="O1138" s="33" t="str">
        <f>IF(Account!$F1138&lt;&gt;"", DATEVALUE(MID($A1138,4,3) &amp; LEFT($A1138,3) &amp; RIGHT($A1138,4)) + TIMEVALUE($B1138), "")</f>
        <v/>
      </c>
      <c r="P1138" s="34" t="str">
        <f>IF(Account!$F1138&lt;&gt;"", DATEVALUE(MID($C1138,4,3) &amp; LEFT($C1138,3) &amp; RIGHT($C1138,4)), "")</f>
        <v/>
      </c>
      <c r="Q1138" s="35" t="str">
        <f t="array" ref="Q1138">IF($R1138&lt;&gt;"",IFERROR(INDEX(ISIN!$B:$B,MATCH($R1138,ISIN!$C:$C,0))),)</f>
        <v/>
      </c>
      <c r="R1138" s="36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5" t="str">
        <f t="shared" si="1"/>
        <v/>
      </c>
      <c r="T1138" s="37" t="str">
        <f t="shared" si="2"/>
        <v/>
      </c>
      <c r="U1138" s="38" t="str">
        <f t="shared" si="3"/>
        <v/>
      </c>
      <c r="V1138" s="32" t="str">
        <f t="shared" si="4"/>
        <v/>
      </c>
      <c r="W1138" s="39" t="str">
        <f>IFERROR(__xludf.DUMMYFUNCTION(" IF(Account!$F1138&lt;&gt;"""", SPLIT(Account!$F1138, "" ""), """")"),"")</f>
        <v/>
      </c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</row>
    <row r="1139">
      <c r="A1139" s="343"/>
      <c r="B1139" s="344"/>
      <c r="C1139" s="343"/>
      <c r="F1139" s="308"/>
      <c r="G1139" s="50"/>
      <c r="L1139" s="308"/>
      <c r="M1139" s="30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2" t="str">
        <f>IFERROR(__xludf.DUMMYFUNCTION("IF(Account!$F1139&lt;&gt;"""", VALUE(REGEXREPLACE($I1139, ""\,"", ""."")), """")"),"")</f>
        <v/>
      </c>
      <c r="O1139" s="33" t="str">
        <f>IF(Account!$F1139&lt;&gt;"", DATEVALUE(MID($A1139,4,3) &amp; LEFT($A1139,3) &amp; RIGHT($A1139,4)) + TIMEVALUE($B1139), "")</f>
        <v/>
      </c>
      <c r="P1139" s="34" t="str">
        <f>IF(Account!$F1139&lt;&gt;"", DATEVALUE(MID($C1139,4,3) &amp; LEFT($C1139,3) &amp; RIGHT($C1139,4)), "")</f>
        <v/>
      </c>
      <c r="Q1139" s="35" t="str">
        <f t="array" ref="Q1139">IF($R1139&lt;&gt;"",IFERROR(INDEX(ISIN!$B:$B,MATCH($R1139,ISIN!$C:$C,0))),)</f>
        <v/>
      </c>
      <c r="R1139" s="36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5" t="str">
        <f t="shared" si="1"/>
        <v/>
      </c>
      <c r="T1139" s="37" t="str">
        <f t="shared" si="2"/>
        <v/>
      </c>
      <c r="U1139" s="38" t="str">
        <f t="shared" si="3"/>
        <v/>
      </c>
      <c r="V1139" s="32" t="str">
        <f t="shared" si="4"/>
        <v/>
      </c>
      <c r="W1139" s="39" t="str">
        <f>IFERROR(__xludf.DUMMYFUNCTION(" IF(Account!$F1139&lt;&gt;"""", SPLIT(Account!$F1139, "" ""), """")"),"")</f>
        <v/>
      </c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</row>
    <row r="1140">
      <c r="A1140" s="343"/>
      <c r="B1140" s="344"/>
      <c r="C1140" s="343"/>
      <c r="F1140" s="308"/>
      <c r="G1140" s="291"/>
      <c r="L1140" s="308"/>
      <c r="M1140" s="30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2" t="str">
        <f>IFERROR(__xludf.DUMMYFUNCTION("IF(Account!$F1140&lt;&gt;"""", VALUE(REGEXREPLACE($I1140, ""\,"", ""."")), """")"),"")</f>
        <v/>
      </c>
      <c r="O1140" s="33" t="str">
        <f>IF(Account!$F1140&lt;&gt;"", DATEVALUE(MID($A1140,4,3) &amp; LEFT($A1140,3) &amp; RIGHT($A1140,4)) + TIMEVALUE($B1140), "")</f>
        <v/>
      </c>
      <c r="P1140" s="34" t="str">
        <f>IF(Account!$F1140&lt;&gt;"", DATEVALUE(MID($C1140,4,3) &amp; LEFT($C1140,3) &amp; RIGHT($C1140,4)), "")</f>
        <v/>
      </c>
      <c r="Q1140" s="35" t="str">
        <f t="array" ref="Q1140">IF($R1140&lt;&gt;"",IFERROR(INDEX(ISIN!$B:$B,MATCH($R1140,ISIN!$C:$C,0))),)</f>
        <v/>
      </c>
      <c r="R1140" s="36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5" t="str">
        <f t="shared" si="1"/>
        <v/>
      </c>
      <c r="T1140" s="37" t="str">
        <f t="shared" si="2"/>
        <v/>
      </c>
      <c r="U1140" s="38" t="str">
        <f t="shared" si="3"/>
        <v/>
      </c>
      <c r="V1140" s="32" t="str">
        <f t="shared" si="4"/>
        <v/>
      </c>
      <c r="W1140" s="39" t="str">
        <f>IFERROR(__xludf.DUMMYFUNCTION(" IF(Account!$F1140&lt;&gt;"""", SPLIT(Account!$F1140, "" ""), """")"),"")</f>
        <v/>
      </c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</row>
    <row r="1141">
      <c r="A1141" s="343"/>
      <c r="B1141" s="344"/>
      <c r="C1141" s="343"/>
      <c r="F1141" s="308"/>
      <c r="G1141" s="291"/>
      <c r="L1141" s="308"/>
      <c r="M1141" s="30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2" t="str">
        <f>IFERROR(__xludf.DUMMYFUNCTION("IF(Account!$F1141&lt;&gt;"""", VALUE(REGEXREPLACE($I1141, ""\,"", ""."")), """")"),"")</f>
        <v/>
      </c>
      <c r="O1141" s="33" t="str">
        <f>IF(Account!$F1141&lt;&gt;"", DATEVALUE(MID($A1141,4,3) &amp; LEFT($A1141,3) &amp; RIGHT($A1141,4)) + TIMEVALUE($B1141), "")</f>
        <v/>
      </c>
      <c r="P1141" s="34" t="str">
        <f>IF(Account!$F1141&lt;&gt;"", DATEVALUE(MID($C1141,4,3) &amp; LEFT($C1141,3) &amp; RIGHT($C1141,4)), "")</f>
        <v/>
      </c>
      <c r="Q1141" s="35" t="str">
        <f t="array" ref="Q1141">IF($R1141&lt;&gt;"",IFERROR(INDEX(ISIN!$B:$B,MATCH($R1141,ISIN!$C:$C,0))),)</f>
        <v/>
      </c>
      <c r="R1141" s="36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5" t="str">
        <f t="shared" si="1"/>
        <v/>
      </c>
      <c r="T1141" s="37" t="str">
        <f t="shared" si="2"/>
        <v/>
      </c>
      <c r="U1141" s="38" t="str">
        <f t="shared" si="3"/>
        <v/>
      </c>
      <c r="V1141" s="32" t="str">
        <f t="shared" si="4"/>
        <v/>
      </c>
      <c r="W1141" s="39" t="str">
        <f>IFERROR(__xludf.DUMMYFUNCTION(" IF(Account!$F1141&lt;&gt;"""", SPLIT(Account!$F1141, "" ""), """")"),"")</f>
        <v/>
      </c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</row>
    <row r="1142">
      <c r="A1142" s="343"/>
      <c r="B1142" s="344"/>
      <c r="C1142" s="343"/>
      <c r="F1142" s="308"/>
      <c r="G1142" s="291"/>
      <c r="L1142" s="308"/>
      <c r="M1142" s="30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2" t="str">
        <f>IFERROR(__xludf.DUMMYFUNCTION("IF(Account!$F1142&lt;&gt;"""", VALUE(REGEXREPLACE($I1142, ""\,"", ""."")), """")"),"")</f>
        <v/>
      </c>
      <c r="O1142" s="33" t="str">
        <f>IF(Account!$F1142&lt;&gt;"", DATEVALUE(MID($A1142,4,3) &amp; LEFT($A1142,3) &amp; RIGHT($A1142,4)) + TIMEVALUE($B1142), "")</f>
        <v/>
      </c>
      <c r="P1142" s="34" t="str">
        <f>IF(Account!$F1142&lt;&gt;"", DATEVALUE(MID($C1142,4,3) &amp; LEFT($C1142,3) &amp; RIGHT($C1142,4)), "")</f>
        <v/>
      </c>
      <c r="Q1142" s="35" t="str">
        <f t="array" ref="Q1142">IF($R1142&lt;&gt;"",IFERROR(INDEX(ISIN!$B:$B,MATCH($R1142,ISIN!$C:$C,0))),)</f>
        <v/>
      </c>
      <c r="R1142" s="36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5" t="str">
        <f t="shared" si="1"/>
        <v/>
      </c>
      <c r="T1142" s="37" t="str">
        <f t="shared" si="2"/>
        <v/>
      </c>
      <c r="U1142" s="38" t="str">
        <f t="shared" si="3"/>
        <v/>
      </c>
      <c r="V1142" s="32" t="str">
        <f t="shared" si="4"/>
        <v/>
      </c>
      <c r="W1142" s="39" t="str">
        <f>IFERROR(__xludf.DUMMYFUNCTION(" IF(Account!$F1142&lt;&gt;"""", SPLIT(Account!$F1142, "" ""), """")"),"")</f>
        <v/>
      </c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</row>
    <row r="1143">
      <c r="A1143" s="343"/>
      <c r="B1143" s="344"/>
      <c r="C1143" s="343"/>
      <c r="F1143" s="308"/>
      <c r="G1143" s="291"/>
      <c r="L1143" s="308"/>
      <c r="M1143" s="30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2" t="str">
        <f>IFERROR(__xludf.DUMMYFUNCTION("IF(Account!$F1143&lt;&gt;"""", VALUE(REGEXREPLACE($I1143, ""\,"", ""."")), """")"),"")</f>
        <v/>
      </c>
      <c r="O1143" s="33" t="str">
        <f>IF(Account!$F1143&lt;&gt;"", DATEVALUE(MID($A1143,4,3) &amp; LEFT($A1143,3) &amp; RIGHT($A1143,4)) + TIMEVALUE($B1143), "")</f>
        <v/>
      </c>
      <c r="P1143" s="34" t="str">
        <f>IF(Account!$F1143&lt;&gt;"", DATEVALUE(MID($C1143,4,3) &amp; LEFT($C1143,3) &amp; RIGHT($C1143,4)), "")</f>
        <v/>
      </c>
      <c r="Q1143" s="35" t="str">
        <f t="array" ref="Q1143">IF($R1143&lt;&gt;"",IFERROR(INDEX(ISIN!$B:$B,MATCH($R1143,ISIN!$C:$C,0))),)</f>
        <v/>
      </c>
      <c r="R1143" s="36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5" t="str">
        <f t="shared" si="1"/>
        <v/>
      </c>
      <c r="T1143" s="37" t="str">
        <f t="shared" si="2"/>
        <v/>
      </c>
      <c r="U1143" s="38" t="str">
        <f t="shared" si="3"/>
        <v/>
      </c>
      <c r="V1143" s="32" t="str">
        <f t="shared" si="4"/>
        <v/>
      </c>
      <c r="W1143" s="39" t="str">
        <f>IFERROR(__xludf.DUMMYFUNCTION(" IF(Account!$F1143&lt;&gt;"""", SPLIT(Account!$F1143, "" ""), """")"),"")</f>
        <v/>
      </c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</row>
    <row r="1144">
      <c r="A1144" s="343"/>
      <c r="B1144" s="344"/>
      <c r="C1144" s="343"/>
      <c r="F1144" s="308"/>
      <c r="G1144" s="291"/>
      <c r="L1144" s="308"/>
      <c r="M1144" s="30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2" t="str">
        <f>IFERROR(__xludf.DUMMYFUNCTION("IF(Account!$F1144&lt;&gt;"""", VALUE(REGEXREPLACE($I1144, ""\,"", ""."")), """")"),"")</f>
        <v/>
      </c>
      <c r="O1144" s="33" t="str">
        <f>IF(Account!$F1144&lt;&gt;"", DATEVALUE(MID($A1144,4,3) &amp; LEFT($A1144,3) &amp; RIGHT($A1144,4)) + TIMEVALUE($B1144), "")</f>
        <v/>
      </c>
      <c r="P1144" s="34" t="str">
        <f>IF(Account!$F1144&lt;&gt;"", DATEVALUE(MID($C1144,4,3) &amp; LEFT($C1144,3) &amp; RIGHT($C1144,4)), "")</f>
        <v/>
      </c>
      <c r="Q1144" s="35" t="str">
        <f t="array" ref="Q1144">IF($R1144&lt;&gt;"",IFERROR(INDEX(ISIN!$B:$B,MATCH($R1144,ISIN!$C:$C,0))),)</f>
        <v/>
      </c>
      <c r="R1144" s="36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5" t="str">
        <f t="shared" si="1"/>
        <v/>
      </c>
      <c r="T1144" s="37" t="str">
        <f t="shared" si="2"/>
        <v/>
      </c>
      <c r="U1144" s="38" t="str">
        <f t="shared" si="3"/>
        <v/>
      </c>
      <c r="V1144" s="32" t="str">
        <f t="shared" si="4"/>
        <v/>
      </c>
      <c r="W1144" s="39" t="str">
        <f>IFERROR(__xludf.DUMMYFUNCTION(" IF(Account!$F1144&lt;&gt;"""", SPLIT(Account!$F1144, "" ""), """")"),"")</f>
        <v/>
      </c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</row>
    <row r="1145">
      <c r="A1145" s="343"/>
      <c r="B1145" s="344"/>
      <c r="C1145" s="343"/>
      <c r="F1145" s="308"/>
      <c r="G1145" s="50"/>
      <c r="L1145" s="308"/>
      <c r="M1145" s="30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2" t="str">
        <f>IFERROR(__xludf.DUMMYFUNCTION("IF(Account!$F1145&lt;&gt;"""", VALUE(REGEXREPLACE($I1145, ""\,"", ""."")), """")"),"")</f>
        <v/>
      </c>
      <c r="O1145" s="33" t="str">
        <f>IF(Account!$F1145&lt;&gt;"", DATEVALUE(MID($A1145,4,3) &amp; LEFT($A1145,3) &amp; RIGHT($A1145,4)) + TIMEVALUE($B1145), "")</f>
        <v/>
      </c>
      <c r="P1145" s="34" t="str">
        <f>IF(Account!$F1145&lt;&gt;"", DATEVALUE(MID($C1145,4,3) &amp; LEFT($C1145,3) &amp; RIGHT($C1145,4)), "")</f>
        <v/>
      </c>
      <c r="Q1145" s="35" t="str">
        <f t="array" ref="Q1145">IF($R1145&lt;&gt;"",IFERROR(INDEX(ISIN!$B:$B,MATCH($R1145,ISIN!$C:$C,0))),)</f>
        <v/>
      </c>
      <c r="R1145" s="36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5" t="str">
        <f t="shared" si="1"/>
        <v/>
      </c>
      <c r="T1145" s="37" t="str">
        <f t="shared" si="2"/>
        <v/>
      </c>
      <c r="U1145" s="38" t="str">
        <f t="shared" si="3"/>
        <v/>
      </c>
      <c r="V1145" s="32" t="str">
        <f t="shared" si="4"/>
        <v/>
      </c>
      <c r="W1145" s="39" t="str">
        <f>IFERROR(__xludf.DUMMYFUNCTION(" IF(Account!$F1145&lt;&gt;"""", SPLIT(Account!$F1145, "" ""), """")"),"")</f>
        <v/>
      </c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</row>
    <row r="1146">
      <c r="A1146" s="343"/>
      <c r="B1146" s="344"/>
      <c r="C1146" s="343"/>
      <c r="F1146" s="308"/>
      <c r="G1146" s="291"/>
      <c r="L1146" s="308"/>
      <c r="M1146" s="30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2" t="str">
        <f>IFERROR(__xludf.DUMMYFUNCTION("IF(Account!$F1146&lt;&gt;"""", VALUE(REGEXREPLACE($I1146, ""\,"", ""."")), """")"),"")</f>
        <v/>
      </c>
      <c r="O1146" s="33" t="str">
        <f>IF(Account!$F1146&lt;&gt;"", DATEVALUE(MID($A1146,4,3) &amp; LEFT($A1146,3) &amp; RIGHT($A1146,4)) + TIMEVALUE($B1146), "")</f>
        <v/>
      </c>
      <c r="P1146" s="34" t="str">
        <f>IF(Account!$F1146&lt;&gt;"", DATEVALUE(MID($C1146,4,3) &amp; LEFT($C1146,3) &amp; RIGHT($C1146,4)), "")</f>
        <v/>
      </c>
      <c r="Q1146" s="35" t="str">
        <f t="array" ref="Q1146">IF($R1146&lt;&gt;"",IFERROR(INDEX(ISIN!$B:$B,MATCH($R1146,ISIN!$C:$C,0))),)</f>
        <v/>
      </c>
      <c r="R1146" s="36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5" t="str">
        <f t="shared" si="1"/>
        <v/>
      </c>
      <c r="T1146" s="37" t="str">
        <f t="shared" si="2"/>
        <v/>
      </c>
      <c r="U1146" s="38" t="str">
        <f t="shared" si="3"/>
        <v/>
      </c>
      <c r="V1146" s="32" t="str">
        <f t="shared" si="4"/>
        <v/>
      </c>
      <c r="W1146" s="39" t="str">
        <f>IFERROR(__xludf.DUMMYFUNCTION(" IF(Account!$F1146&lt;&gt;"""", SPLIT(Account!$F1146, "" ""), """")"),"")</f>
        <v/>
      </c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</row>
    <row r="1147">
      <c r="A1147" s="343"/>
      <c r="B1147" s="344"/>
      <c r="C1147" s="343"/>
      <c r="F1147" s="308"/>
      <c r="G1147" s="291"/>
      <c r="L1147" s="308"/>
      <c r="M1147" s="30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2" t="str">
        <f>IFERROR(__xludf.DUMMYFUNCTION("IF(Account!$F1147&lt;&gt;"""", VALUE(REGEXREPLACE($I1147, ""\,"", ""."")), """")"),"")</f>
        <v/>
      </c>
      <c r="O1147" s="33" t="str">
        <f>IF(Account!$F1147&lt;&gt;"", DATEVALUE(MID($A1147,4,3) &amp; LEFT($A1147,3) &amp; RIGHT($A1147,4)) + TIMEVALUE($B1147), "")</f>
        <v/>
      </c>
      <c r="P1147" s="34" t="str">
        <f>IF(Account!$F1147&lt;&gt;"", DATEVALUE(MID($C1147,4,3) &amp; LEFT($C1147,3) &amp; RIGHT($C1147,4)), "")</f>
        <v/>
      </c>
      <c r="Q1147" s="35" t="str">
        <f t="array" ref="Q1147">IF($R1147&lt;&gt;"",IFERROR(INDEX(ISIN!$B:$B,MATCH($R1147,ISIN!$C:$C,0))),)</f>
        <v/>
      </c>
      <c r="R1147" s="36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5" t="str">
        <f t="shared" si="1"/>
        <v/>
      </c>
      <c r="T1147" s="37" t="str">
        <f t="shared" si="2"/>
        <v/>
      </c>
      <c r="U1147" s="38" t="str">
        <f t="shared" si="3"/>
        <v/>
      </c>
      <c r="V1147" s="32" t="str">
        <f t="shared" si="4"/>
        <v/>
      </c>
      <c r="W1147" s="39" t="str">
        <f>IFERROR(__xludf.DUMMYFUNCTION(" IF(Account!$F1147&lt;&gt;"""", SPLIT(Account!$F1147, "" ""), """")"),"")</f>
        <v/>
      </c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</row>
    <row r="1148">
      <c r="A1148" s="343"/>
      <c r="B1148" s="344"/>
      <c r="C1148" s="343"/>
      <c r="F1148" s="308"/>
      <c r="G1148" s="50"/>
      <c r="L1148" s="308"/>
      <c r="M1148" s="30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2" t="str">
        <f>IFERROR(__xludf.DUMMYFUNCTION("IF(Account!$F1148&lt;&gt;"""", VALUE(REGEXREPLACE($I1148, ""\,"", ""."")), """")"),"")</f>
        <v/>
      </c>
      <c r="O1148" s="33" t="str">
        <f>IF(Account!$F1148&lt;&gt;"", DATEVALUE(MID($A1148,4,3) &amp; LEFT($A1148,3) &amp; RIGHT($A1148,4)) + TIMEVALUE($B1148), "")</f>
        <v/>
      </c>
      <c r="P1148" s="34" t="str">
        <f>IF(Account!$F1148&lt;&gt;"", DATEVALUE(MID($C1148,4,3) &amp; LEFT($C1148,3) &amp; RIGHT($C1148,4)), "")</f>
        <v/>
      </c>
      <c r="Q1148" s="35" t="str">
        <f t="array" ref="Q1148">IF($R1148&lt;&gt;"",IFERROR(INDEX(ISIN!$B:$B,MATCH($R1148,ISIN!$C:$C,0))),)</f>
        <v/>
      </c>
      <c r="R1148" s="36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5" t="str">
        <f t="shared" si="1"/>
        <v/>
      </c>
      <c r="T1148" s="37" t="str">
        <f t="shared" si="2"/>
        <v/>
      </c>
      <c r="U1148" s="38" t="str">
        <f t="shared" si="3"/>
        <v/>
      </c>
      <c r="V1148" s="32" t="str">
        <f t="shared" si="4"/>
        <v/>
      </c>
      <c r="W1148" s="39" t="str">
        <f>IFERROR(__xludf.DUMMYFUNCTION(" IF(Account!$F1148&lt;&gt;"""", SPLIT(Account!$F1148, "" ""), """")"),"")</f>
        <v/>
      </c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</row>
    <row r="1149">
      <c r="A1149" s="343"/>
      <c r="B1149" s="344"/>
      <c r="C1149" s="343"/>
      <c r="F1149" s="308"/>
      <c r="G1149" s="291"/>
      <c r="L1149" s="308"/>
      <c r="M1149" s="30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2" t="str">
        <f>IFERROR(__xludf.DUMMYFUNCTION("IF(Account!$F1149&lt;&gt;"""", VALUE(REGEXREPLACE($I1149, ""\,"", ""."")), """")"),"")</f>
        <v/>
      </c>
      <c r="O1149" s="33" t="str">
        <f>IF(Account!$F1149&lt;&gt;"", DATEVALUE(MID($A1149,4,3) &amp; LEFT($A1149,3) &amp; RIGHT($A1149,4)) + TIMEVALUE($B1149), "")</f>
        <v/>
      </c>
      <c r="P1149" s="34" t="str">
        <f>IF(Account!$F1149&lt;&gt;"", DATEVALUE(MID($C1149,4,3) &amp; LEFT($C1149,3) &amp; RIGHT($C1149,4)), "")</f>
        <v/>
      </c>
      <c r="Q1149" s="35" t="str">
        <f t="array" ref="Q1149">IF($R1149&lt;&gt;"",IFERROR(INDEX(ISIN!$B:$B,MATCH($R1149,ISIN!$C:$C,0))),)</f>
        <v/>
      </c>
      <c r="R1149" s="36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5" t="str">
        <f t="shared" si="1"/>
        <v/>
      </c>
      <c r="T1149" s="37" t="str">
        <f t="shared" si="2"/>
        <v/>
      </c>
      <c r="U1149" s="38" t="str">
        <f t="shared" si="3"/>
        <v/>
      </c>
      <c r="V1149" s="32" t="str">
        <f t="shared" si="4"/>
        <v/>
      </c>
      <c r="W1149" s="39" t="str">
        <f>IFERROR(__xludf.DUMMYFUNCTION(" IF(Account!$F1149&lt;&gt;"""", SPLIT(Account!$F1149, "" ""), """")"),"")</f>
        <v/>
      </c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</row>
    <row r="1150">
      <c r="A1150" s="291"/>
      <c r="B1150" s="291"/>
      <c r="C1150" s="291"/>
      <c r="D1150" s="291"/>
      <c r="E1150" s="291"/>
      <c r="F1150" s="335"/>
      <c r="G1150" s="291"/>
      <c r="H1150" s="291"/>
      <c r="I1150" s="291"/>
      <c r="J1150" s="291"/>
      <c r="K1150" s="291"/>
      <c r="L1150" s="308"/>
      <c r="M1150" s="30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2" t="str">
        <f>IFERROR(__xludf.DUMMYFUNCTION("IF(Account!$F1150&lt;&gt;"""", VALUE(REGEXREPLACE($I1150, ""\,"", ""."")), """")"),"")</f>
        <v/>
      </c>
      <c r="O1150" s="33" t="str">
        <f>IF(Account!$F1150&lt;&gt;"", DATEVALUE(MID($A1150,4,3) &amp; LEFT($A1150,3) &amp; RIGHT($A1150,4)) + TIMEVALUE($B1150), "")</f>
        <v/>
      </c>
      <c r="P1150" s="34" t="str">
        <f>IF(Account!$F1150&lt;&gt;"", DATEVALUE(MID($C1150,4,3) &amp; LEFT($C1150,3) &amp; RIGHT($C1150,4)), "")</f>
        <v/>
      </c>
      <c r="Q1150" s="35" t="str">
        <f t="array" ref="Q1150">IF($R1150&lt;&gt;"",IFERROR(INDEX(ISIN!$B:$B,MATCH($R1150,ISIN!$C:$C,0))),)</f>
        <v/>
      </c>
      <c r="R1150" s="36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5" t="str">
        <f t="shared" si="1"/>
        <v/>
      </c>
      <c r="T1150" s="37" t="str">
        <f t="shared" si="2"/>
        <v/>
      </c>
      <c r="U1150" s="38" t="str">
        <f t="shared" si="3"/>
        <v/>
      </c>
      <c r="V1150" s="32" t="str">
        <f t="shared" si="4"/>
        <v/>
      </c>
      <c r="W1150" s="39" t="str">
        <f>IFERROR(__xludf.DUMMYFUNCTION(" IF(Account!$F1150&lt;&gt;"""", SPLIT(Account!$F1150, "" ""), """")"),"")</f>
        <v/>
      </c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</row>
    <row r="1151">
      <c r="A1151" s="343"/>
      <c r="B1151" s="344"/>
      <c r="C1151" s="343"/>
      <c r="F1151" s="308"/>
      <c r="G1151" s="291"/>
      <c r="L1151" s="308"/>
      <c r="M1151" s="30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2" t="str">
        <f>IFERROR(__xludf.DUMMYFUNCTION("IF(Account!$F1151&lt;&gt;"""", VALUE(REGEXREPLACE($I1151, ""\,"", ""."")), """")"),"")</f>
        <v/>
      </c>
      <c r="O1151" s="33" t="str">
        <f>IF(Account!$F1151&lt;&gt;"", DATEVALUE(MID($A1151,4,3) &amp; LEFT($A1151,3) &amp; RIGHT($A1151,4)) + TIMEVALUE($B1151), "")</f>
        <v/>
      </c>
      <c r="P1151" s="34" t="str">
        <f>IF(Account!$F1151&lt;&gt;"", DATEVALUE(MID($C1151,4,3) &amp; LEFT($C1151,3) &amp; RIGHT($C1151,4)), "")</f>
        <v/>
      </c>
      <c r="Q1151" s="35" t="str">
        <f t="array" ref="Q1151">IF($R1151&lt;&gt;"",IFERROR(INDEX(ISIN!$B:$B,MATCH($R1151,ISIN!$C:$C,0))),)</f>
        <v/>
      </c>
      <c r="R1151" s="36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5" t="str">
        <f t="shared" si="1"/>
        <v/>
      </c>
      <c r="T1151" s="37" t="str">
        <f t="shared" si="2"/>
        <v/>
      </c>
      <c r="U1151" s="38" t="str">
        <f t="shared" si="3"/>
        <v/>
      </c>
      <c r="V1151" s="32" t="str">
        <f t="shared" si="4"/>
        <v/>
      </c>
      <c r="W1151" s="39" t="str">
        <f>IFERROR(__xludf.DUMMYFUNCTION(" IF(Account!$F1151&lt;&gt;"""", SPLIT(Account!$F1151, "" ""), """")"),"")</f>
        <v/>
      </c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</row>
    <row r="1152">
      <c r="A1152" s="343"/>
      <c r="B1152" s="344"/>
      <c r="C1152" s="343"/>
      <c r="F1152" s="308"/>
      <c r="G1152" s="50"/>
      <c r="L1152" s="308"/>
      <c r="M1152" s="30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2" t="str">
        <f>IFERROR(__xludf.DUMMYFUNCTION("IF(Account!$F1152&lt;&gt;"""", VALUE(REGEXREPLACE($I1152, ""\,"", ""."")), """")"),"")</f>
        <v/>
      </c>
      <c r="O1152" s="33" t="str">
        <f>IF(Account!$F1152&lt;&gt;"", DATEVALUE(MID($A1152,4,3) &amp; LEFT($A1152,3) &amp; RIGHT($A1152,4)) + TIMEVALUE($B1152), "")</f>
        <v/>
      </c>
      <c r="P1152" s="34" t="str">
        <f>IF(Account!$F1152&lt;&gt;"", DATEVALUE(MID($C1152,4,3) &amp; LEFT($C1152,3) &amp; RIGHT($C1152,4)), "")</f>
        <v/>
      </c>
      <c r="Q1152" s="35" t="str">
        <f t="array" ref="Q1152">IF($R1152&lt;&gt;"",IFERROR(INDEX(ISIN!$B:$B,MATCH($R1152,ISIN!$C:$C,0))),)</f>
        <v/>
      </c>
      <c r="R1152" s="36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5" t="str">
        <f t="shared" si="1"/>
        <v/>
      </c>
      <c r="T1152" s="37" t="str">
        <f t="shared" si="2"/>
        <v/>
      </c>
      <c r="U1152" s="38" t="str">
        <f t="shared" si="3"/>
        <v/>
      </c>
      <c r="V1152" s="32" t="str">
        <f t="shared" si="4"/>
        <v/>
      </c>
      <c r="W1152" s="39" t="str">
        <f>IFERROR(__xludf.DUMMYFUNCTION(" IF(Account!$F1152&lt;&gt;"""", SPLIT(Account!$F1152, "" ""), """")"),"")</f>
        <v/>
      </c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</row>
    <row r="1153">
      <c r="A1153" s="343"/>
      <c r="B1153" s="344"/>
      <c r="C1153" s="343"/>
      <c r="F1153" s="308"/>
      <c r="G1153" s="291"/>
      <c r="L1153" s="308"/>
      <c r="M1153" s="30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2" t="str">
        <f>IFERROR(__xludf.DUMMYFUNCTION("IF(Account!$F1153&lt;&gt;"""", VALUE(REGEXREPLACE($I1153, ""\,"", ""."")), """")"),"")</f>
        <v/>
      </c>
      <c r="O1153" s="33" t="str">
        <f>IF(Account!$F1153&lt;&gt;"", DATEVALUE(MID($A1153,4,3) &amp; LEFT($A1153,3) &amp; RIGHT($A1153,4)) + TIMEVALUE($B1153), "")</f>
        <v/>
      </c>
      <c r="P1153" s="34" t="str">
        <f>IF(Account!$F1153&lt;&gt;"", DATEVALUE(MID($C1153,4,3) &amp; LEFT($C1153,3) &amp; RIGHT($C1153,4)), "")</f>
        <v/>
      </c>
      <c r="Q1153" s="35" t="str">
        <f t="array" ref="Q1153">IF($R1153&lt;&gt;"",IFERROR(INDEX(ISIN!$B:$B,MATCH($R1153,ISIN!$C:$C,0))),)</f>
        <v/>
      </c>
      <c r="R1153" s="36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5" t="str">
        <f t="shared" si="1"/>
        <v/>
      </c>
      <c r="T1153" s="37" t="str">
        <f t="shared" si="2"/>
        <v/>
      </c>
      <c r="U1153" s="38" t="str">
        <f t="shared" si="3"/>
        <v/>
      </c>
      <c r="V1153" s="32" t="str">
        <f t="shared" si="4"/>
        <v/>
      </c>
      <c r="W1153" s="39" t="str">
        <f>IFERROR(__xludf.DUMMYFUNCTION(" IF(Account!$F1153&lt;&gt;"""", SPLIT(Account!$F1153, "" ""), """")"),"")</f>
        <v/>
      </c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</row>
    <row r="1154">
      <c r="A1154" s="343"/>
      <c r="B1154" s="344"/>
      <c r="C1154" s="343"/>
      <c r="F1154" s="308"/>
      <c r="G1154" s="291"/>
      <c r="L1154" s="308"/>
      <c r="M1154" s="30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2" t="str">
        <f>IFERROR(__xludf.DUMMYFUNCTION("IF(Account!$F1154&lt;&gt;"""", VALUE(REGEXREPLACE($I1154, ""\,"", ""."")), """")"),"")</f>
        <v/>
      </c>
      <c r="O1154" s="33" t="str">
        <f>IF(Account!$F1154&lt;&gt;"", DATEVALUE(MID($A1154,4,3) &amp; LEFT($A1154,3) &amp; RIGHT($A1154,4)) + TIMEVALUE($B1154), "")</f>
        <v/>
      </c>
      <c r="P1154" s="34" t="str">
        <f>IF(Account!$F1154&lt;&gt;"", DATEVALUE(MID($C1154,4,3) &amp; LEFT($C1154,3) &amp; RIGHT($C1154,4)), "")</f>
        <v/>
      </c>
      <c r="Q1154" s="35" t="str">
        <f t="array" ref="Q1154">IF($R1154&lt;&gt;"",IFERROR(INDEX(ISIN!$B:$B,MATCH($R1154,ISIN!$C:$C,0))),)</f>
        <v/>
      </c>
      <c r="R1154" s="36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5" t="str">
        <f t="shared" si="1"/>
        <v/>
      </c>
      <c r="T1154" s="37" t="str">
        <f t="shared" si="2"/>
        <v/>
      </c>
      <c r="U1154" s="38" t="str">
        <f t="shared" si="3"/>
        <v/>
      </c>
      <c r="V1154" s="32" t="str">
        <f t="shared" si="4"/>
        <v/>
      </c>
      <c r="W1154" s="39" t="str">
        <f>IFERROR(__xludf.DUMMYFUNCTION(" IF(Account!$F1154&lt;&gt;"""", SPLIT(Account!$F1154, "" ""), """")"),"")</f>
        <v/>
      </c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</row>
    <row r="1155">
      <c r="A1155" s="343"/>
      <c r="B1155" s="344"/>
      <c r="C1155" s="343"/>
      <c r="F1155" s="308"/>
      <c r="G1155" s="50"/>
      <c r="L1155" s="308"/>
      <c r="M1155" s="30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2" t="str">
        <f>IFERROR(__xludf.DUMMYFUNCTION("IF(Account!$F1155&lt;&gt;"""", VALUE(REGEXREPLACE($I1155, ""\,"", ""."")), """")"),"")</f>
        <v/>
      </c>
      <c r="O1155" s="33" t="str">
        <f>IF(Account!$F1155&lt;&gt;"", DATEVALUE(MID($A1155,4,3) &amp; LEFT($A1155,3) &amp; RIGHT($A1155,4)) + TIMEVALUE($B1155), "")</f>
        <v/>
      </c>
      <c r="P1155" s="34" t="str">
        <f>IF(Account!$F1155&lt;&gt;"", DATEVALUE(MID($C1155,4,3) &amp; LEFT($C1155,3) &amp; RIGHT($C1155,4)), "")</f>
        <v/>
      </c>
      <c r="Q1155" s="35" t="str">
        <f t="array" ref="Q1155">IF($R1155&lt;&gt;"",IFERROR(INDEX(ISIN!$B:$B,MATCH($R1155,ISIN!$C:$C,0))),)</f>
        <v/>
      </c>
      <c r="R1155" s="36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5" t="str">
        <f t="shared" si="1"/>
        <v/>
      </c>
      <c r="T1155" s="37" t="str">
        <f t="shared" si="2"/>
        <v/>
      </c>
      <c r="U1155" s="38" t="str">
        <f t="shared" si="3"/>
        <v/>
      </c>
      <c r="V1155" s="32" t="str">
        <f t="shared" si="4"/>
        <v/>
      </c>
      <c r="W1155" s="39" t="str">
        <f>IFERROR(__xludf.DUMMYFUNCTION(" IF(Account!$F1155&lt;&gt;"""", SPLIT(Account!$F1155, "" ""), """")"),"")</f>
        <v/>
      </c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</row>
    <row r="1156">
      <c r="A1156" s="343"/>
      <c r="B1156" s="344"/>
      <c r="C1156" s="343"/>
      <c r="F1156" s="308"/>
      <c r="G1156" s="291"/>
      <c r="L1156" s="308"/>
      <c r="M1156" s="30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2" t="str">
        <f>IFERROR(__xludf.DUMMYFUNCTION("IF(Account!$F1156&lt;&gt;"""", VALUE(REGEXREPLACE($I1156, ""\,"", ""."")), """")"),"")</f>
        <v/>
      </c>
      <c r="O1156" s="33" t="str">
        <f>IF(Account!$F1156&lt;&gt;"", DATEVALUE(MID($A1156,4,3) &amp; LEFT($A1156,3) &amp; RIGHT($A1156,4)) + TIMEVALUE($B1156), "")</f>
        <v/>
      </c>
      <c r="P1156" s="34" t="str">
        <f>IF(Account!$F1156&lt;&gt;"", DATEVALUE(MID($C1156,4,3) &amp; LEFT($C1156,3) &amp; RIGHT($C1156,4)), "")</f>
        <v/>
      </c>
      <c r="Q1156" s="35" t="str">
        <f t="array" ref="Q1156">IF($R1156&lt;&gt;"",IFERROR(INDEX(ISIN!$B:$B,MATCH($R1156,ISIN!$C:$C,0))),)</f>
        <v/>
      </c>
      <c r="R1156" s="36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5" t="str">
        <f t="shared" si="1"/>
        <v/>
      </c>
      <c r="T1156" s="37" t="str">
        <f t="shared" si="2"/>
        <v/>
      </c>
      <c r="U1156" s="38" t="str">
        <f t="shared" si="3"/>
        <v/>
      </c>
      <c r="V1156" s="32" t="str">
        <f t="shared" si="4"/>
        <v/>
      </c>
      <c r="W1156" s="39" t="str">
        <f>IFERROR(__xludf.DUMMYFUNCTION(" IF(Account!$F1156&lt;&gt;"""", SPLIT(Account!$F1156, "" ""), """")"),"")</f>
        <v/>
      </c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</row>
    <row r="1157">
      <c r="A1157" s="343"/>
      <c r="B1157" s="344"/>
      <c r="C1157" s="343"/>
      <c r="F1157" s="308"/>
      <c r="G1157" s="291"/>
      <c r="L1157" s="308"/>
      <c r="M1157" s="30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2" t="str">
        <f>IFERROR(__xludf.DUMMYFUNCTION("IF(Account!$F1157&lt;&gt;"""", VALUE(REGEXREPLACE($I1157, ""\,"", ""."")), """")"),"")</f>
        <v/>
      </c>
      <c r="O1157" s="33" t="str">
        <f>IF(Account!$F1157&lt;&gt;"", DATEVALUE(MID($A1157,4,3) &amp; LEFT($A1157,3) &amp; RIGHT($A1157,4)) + TIMEVALUE($B1157), "")</f>
        <v/>
      </c>
      <c r="P1157" s="34" t="str">
        <f>IF(Account!$F1157&lt;&gt;"", DATEVALUE(MID($C1157,4,3) &amp; LEFT($C1157,3) &amp; RIGHT($C1157,4)), "")</f>
        <v/>
      </c>
      <c r="Q1157" s="35" t="str">
        <f t="array" ref="Q1157">IF($R1157&lt;&gt;"",IFERROR(INDEX(ISIN!$B:$B,MATCH($R1157,ISIN!$C:$C,0))),)</f>
        <v/>
      </c>
      <c r="R1157" s="36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5" t="str">
        <f t="shared" si="1"/>
        <v/>
      </c>
      <c r="T1157" s="37" t="str">
        <f t="shared" si="2"/>
        <v/>
      </c>
      <c r="U1157" s="38" t="str">
        <f t="shared" si="3"/>
        <v/>
      </c>
      <c r="V1157" s="32" t="str">
        <f t="shared" si="4"/>
        <v/>
      </c>
      <c r="W1157" s="39" t="str">
        <f>IFERROR(__xludf.DUMMYFUNCTION(" IF(Account!$F1157&lt;&gt;"""", SPLIT(Account!$F1157, "" ""), """")"),"")</f>
        <v/>
      </c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</row>
    <row r="1158">
      <c r="A1158" s="343"/>
      <c r="B1158" s="344"/>
      <c r="C1158" s="343"/>
      <c r="F1158" s="308"/>
      <c r="G1158" s="291"/>
      <c r="H1158" s="291"/>
      <c r="I1158" s="291"/>
      <c r="L1158" s="335"/>
      <c r="M1158" s="30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2" t="str">
        <f>IFERROR(__xludf.DUMMYFUNCTION("IF(Account!$F1158&lt;&gt;"""", VALUE(REGEXREPLACE($I1158, ""\,"", ""."")), """")"),"")</f>
        <v/>
      </c>
      <c r="O1158" s="33" t="str">
        <f>IF(Account!$F1158&lt;&gt;"", DATEVALUE(MID($A1158,4,3) &amp; LEFT($A1158,3) &amp; RIGHT($A1158,4)) + TIMEVALUE($B1158), "")</f>
        <v/>
      </c>
      <c r="P1158" s="34" t="str">
        <f>IF(Account!$F1158&lt;&gt;"", DATEVALUE(MID($C1158,4,3) &amp; LEFT($C1158,3) &amp; RIGHT($C1158,4)), "")</f>
        <v/>
      </c>
      <c r="Q1158" s="35" t="str">
        <f t="array" ref="Q1158">IF($R1158&lt;&gt;"",IFERROR(INDEX(ISIN!$B:$B,MATCH($R1158,ISIN!$C:$C,0))),)</f>
        <v/>
      </c>
      <c r="R1158" s="36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5" t="str">
        <f t="shared" si="1"/>
        <v/>
      </c>
      <c r="T1158" s="37" t="str">
        <f t="shared" si="2"/>
        <v/>
      </c>
      <c r="U1158" s="38" t="str">
        <f t="shared" si="3"/>
        <v/>
      </c>
      <c r="V1158" s="32" t="str">
        <f t="shared" si="4"/>
        <v/>
      </c>
      <c r="W1158" s="39" t="str">
        <f>IFERROR(__xludf.DUMMYFUNCTION(" IF(Account!$F1158&lt;&gt;"""", SPLIT(Account!$F1158, "" ""), """")"),"")</f>
        <v/>
      </c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</row>
    <row r="1159">
      <c r="A1159" s="343"/>
      <c r="B1159" s="344"/>
      <c r="C1159" s="343"/>
      <c r="F1159" s="308"/>
      <c r="G1159" s="291"/>
      <c r="L1159" s="308"/>
      <c r="M1159" s="30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2" t="str">
        <f>IFERROR(__xludf.DUMMYFUNCTION("IF(Account!$F1159&lt;&gt;"""", VALUE(REGEXREPLACE($I1159, ""\,"", ""."")), """")"),"")</f>
        <v/>
      </c>
      <c r="O1159" s="33" t="str">
        <f>IF(Account!$F1159&lt;&gt;"", DATEVALUE(MID($A1159,4,3) &amp; LEFT($A1159,3) &amp; RIGHT($A1159,4)) + TIMEVALUE($B1159), "")</f>
        <v/>
      </c>
      <c r="P1159" s="34" t="str">
        <f>IF(Account!$F1159&lt;&gt;"", DATEVALUE(MID($C1159,4,3) &amp; LEFT($C1159,3) &amp; RIGHT($C1159,4)), "")</f>
        <v/>
      </c>
      <c r="Q1159" s="35" t="str">
        <f t="array" ref="Q1159">IF($R1159&lt;&gt;"",IFERROR(INDEX(ISIN!$B:$B,MATCH($R1159,ISIN!$C:$C,0))),)</f>
        <v/>
      </c>
      <c r="R1159" s="36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5" t="str">
        <f t="shared" si="1"/>
        <v/>
      </c>
      <c r="T1159" s="37" t="str">
        <f t="shared" si="2"/>
        <v/>
      </c>
      <c r="U1159" s="38" t="str">
        <f t="shared" si="3"/>
        <v/>
      </c>
      <c r="V1159" s="32" t="str">
        <f t="shared" si="4"/>
        <v/>
      </c>
      <c r="W1159" s="39" t="str">
        <f>IFERROR(__xludf.DUMMYFUNCTION(" IF(Account!$F1159&lt;&gt;"""", SPLIT(Account!$F1159, "" ""), """")"),"")</f>
        <v/>
      </c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</row>
    <row r="1160">
      <c r="A1160" s="343"/>
      <c r="B1160" s="344"/>
      <c r="F1160" s="308"/>
      <c r="G1160" s="291"/>
      <c r="H1160" s="291"/>
      <c r="I1160" s="291"/>
      <c r="L1160" s="335"/>
      <c r="M1160" s="30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2" t="str">
        <f>IFERROR(__xludf.DUMMYFUNCTION("IF(Account!$F1160&lt;&gt;"""", VALUE(REGEXREPLACE($I1160, ""\,"", ""."")), """")"),"")</f>
        <v/>
      </c>
      <c r="O1160" s="33" t="str">
        <f>IF(Account!$F1160&lt;&gt;"", DATEVALUE(MID($A1160,4,3) &amp; LEFT($A1160,3) &amp; RIGHT($A1160,4)) + TIMEVALUE($B1160), "")</f>
        <v/>
      </c>
      <c r="P1160" s="34" t="str">
        <f>IF(Account!$F1160&lt;&gt;"", DATEVALUE(MID($C1160,4,3) &amp; LEFT($C1160,3) &amp; RIGHT($C1160,4)), "")</f>
        <v/>
      </c>
      <c r="Q1160" s="35" t="str">
        <f t="array" ref="Q1160">IF($R1160&lt;&gt;"",IFERROR(INDEX(ISIN!$B:$B,MATCH($R1160,ISIN!$C:$C,0))),)</f>
        <v/>
      </c>
      <c r="R1160" s="36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5" t="str">
        <f t="shared" si="1"/>
        <v/>
      </c>
      <c r="T1160" s="37" t="str">
        <f t="shared" si="2"/>
        <v/>
      </c>
      <c r="U1160" s="38" t="str">
        <f t="shared" si="3"/>
        <v/>
      </c>
      <c r="V1160" s="32" t="str">
        <f t="shared" si="4"/>
        <v/>
      </c>
      <c r="W1160" s="39" t="str">
        <f>IFERROR(__xludf.DUMMYFUNCTION(" IF(Account!$F1160&lt;&gt;"""", SPLIT(Account!$F1160, "" ""), """")"),"")</f>
        <v/>
      </c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</row>
    <row r="1161">
      <c r="A1161" s="343"/>
      <c r="B1161" s="344"/>
      <c r="C1161" s="343"/>
      <c r="F1161" s="308"/>
      <c r="G1161" s="291"/>
      <c r="L1161" s="308"/>
      <c r="M1161" s="30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2" t="str">
        <f>IFERROR(__xludf.DUMMYFUNCTION("IF(Account!$F1161&lt;&gt;"""", VALUE(REGEXREPLACE($I1161, ""\,"", ""."")), """")"),"")</f>
        <v/>
      </c>
      <c r="O1161" s="33" t="str">
        <f>IF(Account!$F1161&lt;&gt;"", DATEVALUE(MID($A1161,4,3) &amp; LEFT($A1161,3) &amp; RIGHT($A1161,4)) + TIMEVALUE($B1161), "")</f>
        <v/>
      </c>
      <c r="P1161" s="34" t="str">
        <f>IF(Account!$F1161&lt;&gt;"", DATEVALUE(MID($C1161,4,3) &amp; LEFT($C1161,3) &amp; RIGHT($C1161,4)), "")</f>
        <v/>
      </c>
      <c r="Q1161" s="35" t="str">
        <f t="array" ref="Q1161">IF($R1161&lt;&gt;"",IFERROR(INDEX(ISIN!$B:$B,MATCH($R1161,ISIN!$C:$C,0))),)</f>
        <v/>
      </c>
      <c r="R1161" s="36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5" t="str">
        <f t="shared" si="1"/>
        <v/>
      </c>
      <c r="T1161" s="37" t="str">
        <f t="shared" si="2"/>
        <v/>
      </c>
      <c r="U1161" s="38" t="str">
        <f t="shared" si="3"/>
        <v/>
      </c>
      <c r="V1161" s="32" t="str">
        <f t="shared" si="4"/>
        <v/>
      </c>
      <c r="W1161" s="39" t="str">
        <f>IFERROR(__xludf.DUMMYFUNCTION(" IF(Account!$F1161&lt;&gt;"""", SPLIT(Account!$F1161, "" ""), """")"),"")</f>
        <v/>
      </c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</row>
    <row r="1162">
      <c r="A1162" s="343"/>
      <c r="B1162" s="344"/>
      <c r="C1162" s="343"/>
      <c r="F1162" s="308"/>
      <c r="G1162" s="50"/>
      <c r="L1162" s="308"/>
      <c r="M1162" s="30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2" t="str">
        <f>IFERROR(__xludf.DUMMYFUNCTION("IF(Account!$F1162&lt;&gt;"""", VALUE(REGEXREPLACE($I1162, ""\,"", ""."")), """")"),"")</f>
        <v/>
      </c>
      <c r="O1162" s="33" t="str">
        <f>IF(Account!$F1162&lt;&gt;"", DATEVALUE(MID($A1162,4,3) &amp; LEFT($A1162,3) &amp; RIGHT($A1162,4)) + TIMEVALUE($B1162), "")</f>
        <v/>
      </c>
      <c r="P1162" s="34" t="str">
        <f>IF(Account!$F1162&lt;&gt;"", DATEVALUE(MID($C1162,4,3) &amp; LEFT($C1162,3) &amp; RIGHT($C1162,4)), "")</f>
        <v/>
      </c>
      <c r="Q1162" s="35" t="str">
        <f t="array" ref="Q1162">IF($R1162&lt;&gt;"",IFERROR(INDEX(ISIN!$B:$B,MATCH($R1162,ISIN!$C:$C,0))),)</f>
        <v/>
      </c>
      <c r="R1162" s="36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5" t="str">
        <f t="shared" si="1"/>
        <v/>
      </c>
      <c r="T1162" s="37" t="str">
        <f t="shared" si="2"/>
        <v/>
      </c>
      <c r="U1162" s="38" t="str">
        <f t="shared" si="3"/>
        <v/>
      </c>
      <c r="V1162" s="32" t="str">
        <f t="shared" si="4"/>
        <v/>
      </c>
      <c r="W1162" s="39" t="str">
        <f>IFERROR(__xludf.DUMMYFUNCTION(" IF(Account!$F1162&lt;&gt;"""", SPLIT(Account!$F1162, "" ""), """")"),"")</f>
        <v/>
      </c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</row>
    <row r="1163">
      <c r="A1163" s="343"/>
      <c r="B1163" s="344"/>
      <c r="C1163" s="343"/>
      <c r="F1163" s="308"/>
      <c r="G1163" s="291"/>
      <c r="L1163" s="308"/>
      <c r="M1163" s="30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2" t="str">
        <f>IFERROR(__xludf.DUMMYFUNCTION("IF(Account!$F1163&lt;&gt;"""", VALUE(REGEXREPLACE($I1163, ""\,"", ""."")), """")"),"")</f>
        <v/>
      </c>
      <c r="O1163" s="33" t="str">
        <f>IF(Account!$F1163&lt;&gt;"", DATEVALUE(MID($A1163,4,3) &amp; LEFT($A1163,3) &amp; RIGHT($A1163,4)) + TIMEVALUE($B1163), "")</f>
        <v/>
      </c>
      <c r="P1163" s="34" t="str">
        <f>IF(Account!$F1163&lt;&gt;"", DATEVALUE(MID($C1163,4,3) &amp; LEFT($C1163,3) &amp; RIGHT($C1163,4)), "")</f>
        <v/>
      </c>
      <c r="Q1163" s="35" t="str">
        <f t="array" ref="Q1163">IF($R1163&lt;&gt;"",IFERROR(INDEX(ISIN!$B:$B,MATCH($R1163,ISIN!$C:$C,0))),)</f>
        <v/>
      </c>
      <c r="R1163" s="36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5" t="str">
        <f t="shared" si="1"/>
        <v/>
      </c>
      <c r="T1163" s="37" t="str">
        <f t="shared" si="2"/>
        <v/>
      </c>
      <c r="U1163" s="38" t="str">
        <f t="shared" si="3"/>
        <v/>
      </c>
      <c r="V1163" s="32" t="str">
        <f t="shared" si="4"/>
        <v/>
      </c>
      <c r="W1163" s="39" t="str">
        <f>IFERROR(__xludf.DUMMYFUNCTION(" IF(Account!$F1163&lt;&gt;"""", SPLIT(Account!$F1163, "" ""), """")"),"")</f>
        <v/>
      </c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</row>
    <row r="1164">
      <c r="A1164" s="343"/>
      <c r="B1164" s="344"/>
      <c r="C1164" s="343"/>
      <c r="F1164" s="308"/>
      <c r="G1164" s="50"/>
      <c r="L1164" s="308"/>
      <c r="M1164" s="30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2" t="str">
        <f>IFERROR(__xludf.DUMMYFUNCTION("IF(Account!$F1164&lt;&gt;"""", VALUE(REGEXREPLACE($I1164, ""\,"", ""."")), """")"),"")</f>
        <v/>
      </c>
      <c r="O1164" s="33" t="str">
        <f>IF(Account!$F1164&lt;&gt;"", DATEVALUE(MID($A1164,4,3) &amp; LEFT($A1164,3) &amp; RIGHT($A1164,4)) + TIMEVALUE($B1164), "")</f>
        <v/>
      </c>
      <c r="P1164" s="34" t="str">
        <f>IF(Account!$F1164&lt;&gt;"", DATEVALUE(MID($C1164,4,3) &amp; LEFT($C1164,3) &amp; RIGHT($C1164,4)), "")</f>
        <v/>
      </c>
      <c r="Q1164" s="35" t="str">
        <f t="array" ref="Q1164">IF($R1164&lt;&gt;"",IFERROR(INDEX(ISIN!$B:$B,MATCH($R1164,ISIN!$C:$C,0))),)</f>
        <v/>
      </c>
      <c r="R1164" s="36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5" t="str">
        <f t="shared" si="1"/>
        <v/>
      </c>
      <c r="T1164" s="37" t="str">
        <f t="shared" si="2"/>
        <v/>
      </c>
      <c r="U1164" s="38" t="str">
        <f t="shared" si="3"/>
        <v/>
      </c>
      <c r="V1164" s="32" t="str">
        <f t="shared" si="4"/>
        <v/>
      </c>
      <c r="W1164" s="39" t="str">
        <f>IFERROR(__xludf.DUMMYFUNCTION(" IF(Account!$F1164&lt;&gt;"""", SPLIT(Account!$F1164, "" ""), """")"),"")</f>
        <v/>
      </c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</row>
    <row r="1165">
      <c r="A1165" s="343"/>
      <c r="B1165" s="344"/>
      <c r="C1165" s="343"/>
      <c r="F1165" s="308"/>
      <c r="G1165" s="291"/>
      <c r="L1165" s="308"/>
      <c r="M1165" s="30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2" t="str">
        <f>IFERROR(__xludf.DUMMYFUNCTION("IF(Account!$F1165&lt;&gt;"""", VALUE(REGEXREPLACE($I1165, ""\,"", ""."")), """")"),"")</f>
        <v/>
      </c>
      <c r="O1165" s="33" t="str">
        <f>IF(Account!$F1165&lt;&gt;"", DATEVALUE(MID($A1165,4,3) &amp; LEFT($A1165,3) &amp; RIGHT($A1165,4)) + TIMEVALUE($B1165), "")</f>
        <v/>
      </c>
      <c r="P1165" s="34" t="str">
        <f>IF(Account!$F1165&lt;&gt;"", DATEVALUE(MID($C1165,4,3) &amp; LEFT($C1165,3) &amp; RIGHT($C1165,4)), "")</f>
        <v/>
      </c>
      <c r="Q1165" s="35" t="str">
        <f t="array" ref="Q1165">IF($R1165&lt;&gt;"",IFERROR(INDEX(ISIN!$B:$B,MATCH($R1165,ISIN!$C:$C,0))),)</f>
        <v/>
      </c>
      <c r="R1165" s="36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5" t="str">
        <f t="shared" si="1"/>
        <v/>
      </c>
      <c r="T1165" s="37" t="str">
        <f t="shared" si="2"/>
        <v/>
      </c>
      <c r="U1165" s="38" t="str">
        <f t="shared" si="3"/>
        <v/>
      </c>
      <c r="V1165" s="32" t="str">
        <f t="shared" si="4"/>
        <v/>
      </c>
      <c r="W1165" s="39" t="str">
        <f>IFERROR(__xludf.DUMMYFUNCTION(" IF(Account!$F1165&lt;&gt;"""", SPLIT(Account!$F1165, "" ""), """")"),"")</f>
        <v/>
      </c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</row>
    <row r="1166">
      <c r="A1166" s="343"/>
      <c r="B1166" s="344"/>
      <c r="C1166" s="343"/>
      <c r="F1166" s="308"/>
      <c r="G1166" s="50"/>
      <c r="L1166" s="308"/>
      <c r="M1166" s="30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2" t="str">
        <f>IFERROR(__xludf.DUMMYFUNCTION("IF(Account!$F1166&lt;&gt;"""", VALUE(REGEXREPLACE($I1166, ""\,"", ""."")), """")"),"")</f>
        <v/>
      </c>
      <c r="O1166" s="33" t="str">
        <f>IF(Account!$F1166&lt;&gt;"", DATEVALUE(MID($A1166,4,3) &amp; LEFT($A1166,3) &amp; RIGHT($A1166,4)) + TIMEVALUE($B1166), "")</f>
        <v/>
      </c>
      <c r="P1166" s="34" t="str">
        <f>IF(Account!$F1166&lt;&gt;"", DATEVALUE(MID($C1166,4,3) &amp; LEFT($C1166,3) &amp; RIGHT($C1166,4)), "")</f>
        <v/>
      </c>
      <c r="Q1166" s="35" t="str">
        <f t="array" ref="Q1166">IF($R1166&lt;&gt;"",IFERROR(INDEX(ISIN!$B:$B,MATCH($R1166,ISIN!$C:$C,0))),)</f>
        <v/>
      </c>
      <c r="R1166" s="36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5" t="str">
        <f t="shared" si="1"/>
        <v/>
      </c>
      <c r="T1166" s="37" t="str">
        <f t="shared" si="2"/>
        <v/>
      </c>
      <c r="U1166" s="38" t="str">
        <f t="shared" si="3"/>
        <v/>
      </c>
      <c r="V1166" s="32" t="str">
        <f t="shared" si="4"/>
        <v/>
      </c>
      <c r="W1166" s="39" t="str">
        <f>IFERROR(__xludf.DUMMYFUNCTION(" IF(Account!$F1166&lt;&gt;"""", SPLIT(Account!$F1166, "" ""), """")"),"")</f>
        <v/>
      </c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</row>
    <row r="1167">
      <c r="A1167" s="343"/>
      <c r="B1167" s="344"/>
      <c r="C1167" s="343"/>
      <c r="F1167" s="308"/>
      <c r="G1167" s="291"/>
      <c r="L1167" s="308"/>
      <c r="M1167" s="30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2" t="str">
        <f>IFERROR(__xludf.DUMMYFUNCTION("IF(Account!$F1167&lt;&gt;"""", VALUE(REGEXREPLACE($I1167, ""\,"", ""."")), """")"),"")</f>
        <v/>
      </c>
      <c r="O1167" s="33" t="str">
        <f>IF(Account!$F1167&lt;&gt;"", DATEVALUE(MID($A1167,4,3) &amp; LEFT($A1167,3) &amp; RIGHT($A1167,4)) + TIMEVALUE($B1167), "")</f>
        <v/>
      </c>
      <c r="P1167" s="34" t="str">
        <f>IF(Account!$F1167&lt;&gt;"", DATEVALUE(MID($C1167,4,3) &amp; LEFT($C1167,3) &amp; RIGHT($C1167,4)), "")</f>
        <v/>
      </c>
      <c r="Q1167" s="35" t="str">
        <f t="array" ref="Q1167">IF($R1167&lt;&gt;"",IFERROR(INDEX(ISIN!$B:$B,MATCH($R1167,ISIN!$C:$C,0))),)</f>
        <v/>
      </c>
      <c r="R1167" s="36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5" t="str">
        <f t="shared" si="1"/>
        <v/>
      </c>
      <c r="T1167" s="37" t="str">
        <f t="shared" si="2"/>
        <v/>
      </c>
      <c r="U1167" s="38" t="str">
        <f t="shared" si="3"/>
        <v/>
      </c>
      <c r="V1167" s="32" t="str">
        <f t="shared" si="4"/>
        <v/>
      </c>
      <c r="W1167" s="39" t="str">
        <f>IFERROR(__xludf.DUMMYFUNCTION(" IF(Account!$F1167&lt;&gt;"""", SPLIT(Account!$F1167, "" ""), """")"),"")</f>
        <v/>
      </c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</row>
    <row r="1168">
      <c r="A1168" s="343"/>
      <c r="B1168" s="344"/>
      <c r="C1168" s="343"/>
      <c r="F1168" s="308"/>
      <c r="G1168" s="50"/>
      <c r="L1168" s="308"/>
      <c r="M1168" s="30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2" t="str">
        <f>IFERROR(__xludf.DUMMYFUNCTION("IF(Account!$F1168&lt;&gt;"""", VALUE(REGEXREPLACE($I1168, ""\,"", ""."")), """")"),"")</f>
        <v/>
      </c>
      <c r="O1168" s="33" t="str">
        <f>IF(Account!$F1168&lt;&gt;"", DATEVALUE(MID($A1168,4,3) &amp; LEFT($A1168,3) &amp; RIGHT($A1168,4)) + TIMEVALUE($B1168), "")</f>
        <v/>
      </c>
      <c r="P1168" s="34" t="str">
        <f>IF(Account!$F1168&lt;&gt;"", DATEVALUE(MID($C1168,4,3) &amp; LEFT($C1168,3) &amp; RIGHT($C1168,4)), "")</f>
        <v/>
      </c>
      <c r="Q1168" s="35" t="str">
        <f t="array" ref="Q1168">IF($R1168&lt;&gt;"",IFERROR(INDEX(ISIN!$B:$B,MATCH($R1168,ISIN!$C:$C,0))),)</f>
        <v/>
      </c>
      <c r="R1168" s="36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5" t="str">
        <f t="shared" si="1"/>
        <v/>
      </c>
      <c r="T1168" s="37" t="str">
        <f t="shared" si="2"/>
        <v/>
      </c>
      <c r="U1168" s="38" t="str">
        <f t="shared" si="3"/>
        <v/>
      </c>
      <c r="V1168" s="32" t="str">
        <f t="shared" si="4"/>
        <v/>
      </c>
      <c r="W1168" s="39" t="str">
        <f>IFERROR(__xludf.DUMMYFUNCTION(" IF(Account!$F1168&lt;&gt;"""", SPLIT(Account!$F1168, "" ""), """")"),"")</f>
        <v/>
      </c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</row>
    <row r="1169">
      <c r="A1169" s="343"/>
      <c r="B1169" s="344"/>
      <c r="C1169" s="343"/>
      <c r="F1169" s="308"/>
      <c r="G1169" s="291"/>
      <c r="L1169" s="308"/>
      <c r="M1169" s="30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2" t="str">
        <f>IFERROR(__xludf.DUMMYFUNCTION("IF(Account!$F1169&lt;&gt;"""", VALUE(REGEXREPLACE($I1169, ""\,"", ""."")), """")"),"")</f>
        <v/>
      </c>
      <c r="O1169" s="33" t="str">
        <f>IF(Account!$F1169&lt;&gt;"", DATEVALUE(MID($A1169,4,3) &amp; LEFT($A1169,3) &amp; RIGHT($A1169,4)) + TIMEVALUE($B1169), "")</f>
        <v/>
      </c>
      <c r="P1169" s="34" t="str">
        <f>IF(Account!$F1169&lt;&gt;"", DATEVALUE(MID($C1169,4,3) &amp; LEFT($C1169,3) &amp; RIGHT($C1169,4)), "")</f>
        <v/>
      </c>
      <c r="Q1169" s="35" t="str">
        <f t="array" ref="Q1169">IF($R1169&lt;&gt;"",IFERROR(INDEX(ISIN!$B:$B,MATCH($R1169,ISIN!$C:$C,0))),)</f>
        <v/>
      </c>
      <c r="R1169" s="36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5" t="str">
        <f t="shared" si="1"/>
        <v/>
      </c>
      <c r="T1169" s="37" t="str">
        <f t="shared" si="2"/>
        <v/>
      </c>
      <c r="U1169" s="38" t="str">
        <f t="shared" si="3"/>
        <v/>
      </c>
      <c r="V1169" s="32" t="str">
        <f t="shared" si="4"/>
        <v/>
      </c>
      <c r="W1169" s="39" t="str">
        <f>IFERROR(__xludf.DUMMYFUNCTION(" IF(Account!$F1169&lt;&gt;"""", SPLIT(Account!$F1169, "" ""), """")"),"")</f>
        <v/>
      </c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</row>
    <row r="1170">
      <c r="A1170" s="343"/>
      <c r="B1170" s="344"/>
      <c r="C1170" s="343"/>
      <c r="F1170" s="308"/>
      <c r="G1170" s="291"/>
      <c r="L1170" s="308"/>
      <c r="M1170" s="30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2" t="str">
        <f>IFERROR(__xludf.DUMMYFUNCTION("IF(Account!$F1170&lt;&gt;"""", VALUE(REGEXREPLACE($I1170, ""\,"", ""."")), """")"),"")</f>
        <v/>
      </c>
      <c r="O1170" s="33" t="str">
        <f>IF(Account!$F1170&lt;&gt;"", DATEVALUE(MID($A1170,4,3) &amp; LEFT($A1170,3) &amp; RIGHT($A1170,4)) + TIMEVALUE($B1170), "")</f>
        <v/>
      </c>
      <c r="P1170" s="34" t="str">
        <f>IF(Account!$F1170&lt;&gt;"", DATEVALUE(MID($C1170,4,3) &amp; LEFT($C1170,3) &amp; RIGHT($C1170,4)), "")</f>
        <v/>
      </c>
      <c r="Q1170" s="35" t="str">
        <f t="array" ref="Q1170">IF($R1170&lt;&gt;"",IFERROR(INDEX(ISIN!$B:$B,MATCH($R1170,ISIN!$C:$C,0))),)</f>
        <v/>
      </c>
      <c r="R1170" s="36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5" t="str">
        <f t="shared" si="1"/>
        <v/>
      </c>
      <c r="T1170" s="37" t="str">
        <f t="shared" si="2"/>
        <v/>
      </c>
      <c r="U1170" s="38" t="str">
        <f t="shared" si="3"/>
        <v/>
      </c>
      <c r="V1170" s="32" t="str">
        <f t="shared" si="4"/>
        <v/>
      </c>
      <c r="W1170" s="39" t="str">
        <f>IFERROR(__xludf.DUMMYFUNCTION(" IF(Account!$F1170&lt;&gt;"""", SPLIT(Account!$F1170, "" ""), """")"),"")</f>
        <v/>
      </c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</row>
    <row r="1171">
      <c r="A1171" s="343"/>
      <c r="B1171" s="344"/>
      <c r="C1171" s="343"/>
      <c r="F1171" s="308"/>
      <c r="G1171" s="291"/>
      <c r="L1171" s="308"/>
      <c r="M1171" s="30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2" t="str">
        <f>IFERROR(__xludf.DUMMYFUNCTION("IF(Account!$F1171&lt;&gt;"""", VALUE(REGEXREPLACE($I1171, ""\,"", ""."")), """")"),"")</f>
        <v/>
      </c>
      <c r="O1171" s="33" t="str">
        <f>IF(Account!$F1171&lt;&gt;"", DATEVALUE(MID($A1171,4,3) &amp; LEFT($A1171,3) &amp; RIGHT($A1171,4)) + TIMEVALUE($B1171), "")</f>
        <v/>
      </c>
      <c r="P1171" s="34" t="str">
        <f>IF(Account!$F1171&lt;&gt;"", DATEVALUE(MID($C1171,4,3) &amp; LEFT($C1171,3) &amp; RIGHT($C1171,4)), "")</f>
        <v/>
      </c>
      <c r="Q1171" s="35" t="str">
        <f t="array" ref="Q1171">IF($R1171&lt;&gt;"",IFERROR(INDEX(ISIN!$B:$B,MATCH($R1171,ISIN!$C:$C,0))),)</f>
        <v/>
      </c>
      <c r="R1171" s="36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5" t="str">
        <f t="shared" si="1"/>
        <v/>
      </c>
      <c r="T1171" s="37" t="str">
        <f t="shared" si="2"/>
        <v/>
      </c>
      <c r="U1171" s="38" t="str">
        <f t="shared" si="3"/>
        <v/>
      </c>
      <c r="V1171" s="32" t="str">
        <f t="shared" si="4"/>
        <v/>
      </c>
      <c r="W1171" s="39" t="str">
        <f>IFERROR(__xludf.DUMMYFUNCTION(" IF(Account!$F1171&lt;&gt;"""", SPLIT(Account!$F1171, "" ""), """")"),"")</f>
        <v/>
      </c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</row>
    <row r="1172">
      <c r="A1172" s="343"/>
      <c r="B1172" s="344"/>
      <c r="C1172" s="343"/>
      <c r="F1172" s="308"/>
      <c r="G1172" s="291"/>
      <c r="L1172" s="308"/>
      <c r="M1172" s="30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2" t="str">
        <f>IFERROR(__xludf.DUMMYFUNCTION("IF(Account!$F1172&lt;&gt;"""", VALUE(REGEXREPLACE($I1172, ""\,"", ""."")), """")"),"")</f>
        <v/>
      </c>
      <c r="O1172" s="33" t="str">
        <f>IF(Account!$F1172&lt;&gt;"", DATEVALUE(MID($A1172,4,3) &amp; LEFT($A1172,3) &amp; RIGHT($A1172,4)) + TIMEVALUE($B1172), "")</f>
        <v/>
      </c>
      <c r="P1172" s="34" t="str">
        <f>IF(Account!$F1172&lt;&gt;"", DATEVALUE(MID($C1172,4,3) &amp; LEFT($C1172,3) &amp; RIGHT($C1172,4)), "")</f>
        <v/>
      </c>
      <c r="Q1172" s="35" t="str">
        <f t="array" ref="Q1172">IF($R1172&lt;&gt;"",IFERROR(INDEX(ISIN!$B:$B,MATCH($R1172,ISIN!$C:$C,0))),)</f>
        <v/>
      </c>
      <c r="R1172" s="36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5" t="str">
        <f t="shared" si="1"/>
        <v/>
      </c>
      <c r="T1172" s="37" t="str">
        <f t="shared" si="2"/>
        <v/>
      </c>
      <c r="U1172" s="38" t="str">
        <f t="shared" si="3"/>
        <v/>
      </c>
      <c r="V1172" s="32" t="str">
        <f t="shared" si="4"/>
        <v/>
      </c>
      <c r="W1172" s="39" t="str">
        <f>IFERROR(__xludf.DUMMYFUNCTION(" IF(Account!$F1172&lt;&gt;"""", SPLIT(Account!$F1172, "" ""), """")"),"")</f>
        <v/>
      </c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</row>
    <row r="1173">
      <c r="A1173" s="343"/>
      <c r="B1173" s="344"/>
      <c r="C1173" s="343"/>
      <c r="F1173" s="308"/>
      <c r="G1173" s="291"/>
      <c r="L1173" s="308"/>
      <c r="M1173" s="30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2" t="str">
        <f>IFERROR(__xludf.DUMMYFUNCTION("IF(Account!$F1173&lt;&gt;"""", VALUE(REGEXREPLACE($I1173, ""\,"", ""."")), """")"),"")</f>
        <v/>
      </c>
      <c r="O1173" s="33" t="str">
        <f>IF(Account!$F1173&lt;&gt;"", DATEVALUE(MID($A1173,4,3) &amp; LEFT($A1173,3) &amp; RIGHT($A1173,4)) + TIMEVALUE($B1173), "")</f>
        <v/>
      </c>
      <c r="P1173" s="34" t="str">
        <f>IF(Account!$F1173&lt;&gt;"", DATEVALUE(MID($C1173,4,3) &amp; LEFT($C1173,3) &amp; RIGHT($C1173,4)), "")</f>
        <v/>
      </c>
      <c r="Q1173" s="35" t="str">
        <f t="array" ref="Q1173">IF($R1173&lt;&gt;"",IFERROR(INDEX(ISIN!$B:$B,MATCH($R1173,ISIN!$C:$C,0))),)</f>
        <v/>
      </c>
      <c r="R1173" s="36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5" t="str">
        <f t="shared" si="1"/>
        <v/>
      </c>
      <c r="T1173" s="37" t="str">
        <f t="shared" si="2"/>
        <v/>
      </c>
      <c r="U1173" s="38" t="str">
        <f t="shared" si="3"/>
        <v/>
      </c>
      <c r="V1173" s="32" t="str">
        <f t="shared" si="4"/>
        <v/>
      </c>
      <c r="W1173" s="39" t="str">
        <f>IFERROR(__xludf.DUMMYFUNCTION(" IF(Account!$F1173&lt;&gt;"""", SPLIT(Account!$F1173, "" ""), """")"),"")</f>
        <v/>
      </c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</row>
    <row r="1174">
      <c r="A1174" s="343"/>
      <c r="B1174" s="344"/>
      <c r="C1174" s="343"/>
      <c r="F1174" s="308"/>
      <c r="G1174" s="50"/>
      <c r="L1174" s="308"/>
      <c r="M1174" s="30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2" t="str">
        <f>IFERROR(__xludf.DUMMYFUNCTION("IF(Account!$F1174&lt;&gt;"""", VALUE(REGEXREPLACE($I1174, ""\,"", ""."")), """")"),"")</f>
        <v/>
      </c>
      <c r="O1174" s="33" t="str">
        <f>IF(Account!$F1174&lt;&gt;"", DATEVALUE(MID($A1174,4,3) &amp; LEFT($A1174,3) &amp; RIGHT($A1174,4)) + TIMEVALUE($B1174), "")</f>
        <v/>
      </c>
      <c r="P1174" s="34" t="str">
        <f>IF(Account!$F1174&lt;&gt;"", DATEVALUE(MID($C1174,4,3) &amp; LEFT($C1174,3) &amp; RIGHT($C1174,4)), "")</f>
        <v/>
      </c>
      <c r="Q1174" s="35" t="str">
        <f t="array" ref="Q1174">IF($R1174&lt;&gt;"",IFERROR(INDEX(ISIN!$B:$B,MATCH($R1174,ISIN!$C:$C,0))),)</f>
        <v/>
      </c>
      <c r="R1174" s="36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5" t="str">
        <f t="shared" si="1"/>
        <v/>
      </c>
      <c r="T1174" s="37" t="str">
        <f t="shared" si="2"/>
        <v/>
      </c>
      <c r="U1174" s="38" t="str">
        <f t="shared" si="3"/>
        <v/>
      </c>
      <c r="V1174" s="32" t="str">
        <f t="shared" si="4"/>
        <v/>
      </c>
      <c r="W1174" s="39" t="str">
        <f>IFERROR(__xludf.DUMMYFUNCTION(" IF(Account!$F1174&lt;&gt;"""", SPLIT(Account!$F1174, "" ""), """")"),"")</f>
        <v/>
      </c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</row>
    <row r="1175">
      <c r="A1175" s="343"/>
      <c r="B1175" s="344"/>
      <c r="C1175" s="343"/>
      <c r="F1175" s="308"/>
      <c r="G1175" s="291"/>
      <c r="L1175" s="308"/>
      <c r="M1175" s="30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2" t="str">
        <f>IFERROR(__xludf.DUMMYFUNCTION("IF(Account!$F1175&lt;&gt;"""", VALUE(REGEXREPLACE($I1175, ""\,"", ""."")), """")"),"")</f>
        <v/>
      </c>
      <c r="O1175" s="33" t="str">
        <f>IF(Account!$F1175&lt;&gt;"", DATEVALUE(MID($A1175,4,3) &amp; LEFT($A1175,3) &amp; RIGHT($A1175,4)) + TIMEVALUE($B1175), "")</f>
        <v/>
      </c>
      <c r="P1175" s="34" t="str">
        <f>IF(Account!$F1175&lt;&gt;"", DATEVALUE(MID($C1175,4,3) &amp; LEFT($C1175,3) &amp; RIGHT($C1175,4)), "")</f>
        <v/>
      </c>
      <c r="Q1175" s="35" t="str">
        <f t="array" ref="Q1175">IF($R1175&lt;&gt;"",IFERROR(INDEX(ISIN!$B:$B,MATCH($R1175,ISIN!$C:$C,0))),)</f>
        <v/>
      </c>
      <c r="R1175" s="36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5" t="str">
        <f t="shared" si="1"/>
        <v/>
      </c>
      <c r="T1175" s="37" t="str">
        <f t="shared" si="2"/>
        <v/>
      </c>
      <c r="U1175" s="38" t="str">
        <f t="shared" si="3"/>
        <v/>
      </c>
      <c r="V1175" s="32" t="str">
        <f t="shared" si="4"/>
        <v/>
      </c>
      <c r="W1175" s="39" t="str">
        <f>IFERROR(__xludf.DUMMYFUNCTION(" IF(Account!$F1175&lt;&gt;"""", SPLIT(Account!$F1175, "" ""), """")"),"")</f>
        <v/>
      </c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</row>
    <row r="1176">
      <c r="A1176" s="343"/>
      <c r="B1176" s="344"/>
      <c r="C1176" s="343"/>
      <c r="F1176" s="308"/>
      <c r="G1176" s="50"/>
      <c r="L1176" s="308"/>
      <c r="M1176" s="30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2" t="str">
        <f>IFERROR(__xludf.DUMMYFUNCTION("IF(Account!$F1176&lt;&gt;"""", VALUE(REGEXREPLACE($I1176, ""\,"", ""."")), """")"),"")</f>
        <v/>
      </c>
      <c r="O1176" s="33" t="str">
        <f>IF(Account!$F1176&lt;&gt;"", DATEVALUE(MID($A1176,4,3) &amp; LEFT($A1176,3) &amp; RIGHT($A1176,4)) + TIMEVALUE($B1176), "")</f>
        <v/>
      </c>
      <c r="P1176" s="34" t="str">
        <f>IF(Account!$F1176&lt;&gt;"", DATEVALUE(MID($C1176,4,3) &amp; LEFT($C1176,3) &amp; RIGHT($C1176,4)), "")</f>
        <v/>
      </c>
      <c r="Q1176" s="35" t="str">
        <f t="array" ref="Q1176">IF($R1176&lt;&gt;"",IFERROR(INDEX(ISIN!$B:$B,MATCH($R1176,ISIN!$C:$C,0))),)</f>
        <v/>
      </c>
      <c r="R1176" s="36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5" t="str">
        <f t="shared" si="1"/>
        <v/>
      </c>
      <c r="T1176" s="37" t="str">
        <f t="shared" si="2"/>
        <v/>
      </c>
      <c r="U1176" s="38" t="str">
        <f t="shared" si="3"/>
        <v/>
      </c>
      <c r="V1176" s="32" t="str">
        <f t="shared" si="4"/>
        <v/>
      </c>
      <c r="W1176" s="39" t="str">
        <f>IFERROR(__xludf.DUMMYFUNCTION(" IF(Account!$F1176&lt;&gt;"""", SPLIT(Account!$F1176, "" ""), """")"),"")</f>
        <v/>
      </c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</row>
    <row r="1177">
      <c r="A1177" s="343"/>
      <c r="B1177" s="344"/>
      <c r="C1177" s="343"/>
      <c r="F1177" s="308"/>
      <c r="G1177" s="291"/>
      <c r="L1177" s="308"/>
      <c r="M1177" s="30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2" t="str">
        <f>IFERROR(__xludf.DUMMYFUNCTION("IF(Account!$F1177&lt;&gt;"""", VALUE(REGEXREPLACE($I1177, ""\,"", ""."")), """")"),"")</f>
        <v/>
      </c>
      <c r="O1177" s="33" t="str">
        <f>IF(Account!$F1177&lt;&gt;"", DATEVALUE(MID($A1177,4,3) &amp; LEFT($A1177,3) &amp; RIGHT($A1177,4)) + TIMEVALUE($B1177), "")</f>
        <v/>
      </c>
      <c r="P1177" s="34" t="str">
        <f>IF(Account!$F1177&lt;&gt;"", DATEVALUE(MID($C1177,4,3) &amp; LEFT($C1177,3) &amp; RIGHT($C1177,4)), "")</f>
        <v/>
      </c>
      <c r="Q1177" s="35" t="str">
        <f t="array" ref="Q1177">IF($R1177&lt;&gt;"",IFERROR(INDEX(ISIN!$B:$B,MATCH($R1177,ISIN!$C:$C,0))),)</f>
        <v/>
      </c>
      <c r="R1177" s="36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5" t="str">
        <f t="shared" si="1"/>
        <v/>
      </c>
      <c r="T1177" s="37" t="str">
        <f t="shared" si="2"/>
        <v/>
      </c>
      <c r="U1177" s="38" t="str">
        <f t="shared" si="3"/>
        <v/>
      </c>
      <c r="V1177" s="32" t="str">
        <f t="shared" si="4"/>
        <v/>
      </c>
      <c r="W1177" s="39" t="str">
        <f>IFERROR(__xludf.DUMMYFUNCTION(" IF(Account!$F1177&lt;&gt;"""", SPLIT(Account!$F1177, "" ""), """")"),"")</f>
        <v/>
      </c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</row>
    <row r="1178">
      <c r="A1178" s="343"/>
      <c r="B1178" s="344"/>
      <c r="C1178" s="343"/>
      <c r="F1178" s="308"/>
      <c r="G1178" s="50"/>
      <c r="L1178" s="308"/>
      <c r="M1178" s="30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2" t="str">
        <f>IFERROR(__xludf.DUMMYFUNCTION("IF(Account!$F1178&lt;&gt;"""", VALUE(REGEXREPLACE($I1178, ""\,"", ""."")), """")"),"")</f>
        <v/>
      </c>
      <c r="O1178" s="33" t="str">
        <f>IF(Account!$F1178&lt;&gt;"", DATEVALUE(MID($A1178,4,3) &amp; LEFT($A1178,3) &amp; RIGHT($A1178,4)) + TIMEVALUE($B1178), "")</f>
        <v/>
      </c>
      <c r="P1178" s="34" t="str">
        <f>IF(Account!$F1178&lt;&gt;"", DATEVALUE(MID($C1178,4,3) &amp; LEFT($C1178,3) &amp; RIGHT($C1178,4)), "")</f>
        <v/>
      </c>
      <c r="Q1178" s="35" t="str">
        <f t="array" ref="Q1178">IF($R1178&lt;&gt;"",IFERROR(INDEX(ISIN!$B:$B,MATCH($R1178,ISIN!$C:$C,0))),)</f>
        <v/>
      </c>
      <c r="R1178" s="36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5" t="str">
        <f t="shared" si="1"/>
        <v/>
      </c>
      <c r="T1178" s="37" t="str">
        <f t="shared" si="2"/>
        <v/>
      </c>
      <c r="U1178" s="38" t="str">
        <f t="shared" si="3"/>
        <v/>
      </c>
      <c r="V1178" s="32" t="str">
        <f t="shared" si="4"/>
        <v/>
      </c>
      <c r="W1178" s="39" t="str">
        <f>IFERROR(__xludf.DUMMYFUNCTION(" IF(Account!$F1178&lt;&gt;"""", SPLIT(Account!$F1178, "" ""), """")"),"")</f>
        <v/>
      </c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</row>
    <row r="1179">
      <c r="A1179" s="343"/>
      <c r="B1179" s="344"/>
      <c r="C1179" s="343"/>
      <c r="F1179" s="308"/>
      <c r="G1179" s="291"/>
      <c r="L1179" s="308"/>
      <c r="M1179" s="30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2" t="str">
        <f>IFERROR(__xludf.DUMMYFUNCTION("IF(Account!$F1179&lt;&gt;"""", VALUE(REGEXREPLACE($I1179, ""\,"", ""."")), """")"),"")</f>
        <v/>
      </c>
      <c r="O1179" s="33" t="str">
        <f>IF(Account!$F1179&lt;&gt;"", DATEVALUE(MID($A1179,4,3) &amp; LEFT($A1179,3) &amp; RIGHT($A1179,4)) + TIMEVALUE($B1179), "")</f>
        <v/>
      </c>
      <c r="P1179" s="34" t="str">
        <f>IF(Account!$F1179&lt;&gt;"", DATEVALUE(MID($C1179,4,3) &amp; LEFT($C1179,3) &amp; RIGHT($C1179,4)), "")</f>
        <v/>
      </c>
      <c r="Q1179" s="35" t="str">
        <f t="array" ref="Q1179">IF($R1179&lt;&gt;"",IFERROR(INDEX(ISIN!$B:$B,MATCH($R1179,ISIN!$C:$C,0))),)</f>
        <v/>
      </c>
      <c r="R1179" s="36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5" t="str">
        <f t="shared" si="1"/>
        <v/>
      </c>
      <c r="T1179" s="37" t="str">
        <f t="shared" si="2"/>
        <v/>
      </c>
      <c r="U1179" s="38" t="str">
        <f t="shared" si="3"/>
        <v/>
      </c>
      <c r="V1179" s="32" t="str">
        <f t="shared" si="4"/>
        <v/>
      </c>
      <c r="W1179" s="39" t="str">
        <f>IFERROR(__xludf.DUMMYFUNCTION(" IF(Account!$F1179&lt;&gt;"""", SPLIT(Account!$F1179, "" ""), """")"),"")</f>
        <v/>
      </c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</row>
    <row r="1180">
      <c r="A1180" s="343"/>
      <c r="B1180" s="344"/>
      <c r="C1180" s="343"/>
      <c r="F1180" s="308"/>
      <c r="G1180" s="50"/>
      <c r="L1180" s="308"/>
      <c r="M1180" s="30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2" t="str">
        <f>IFERROR(__xludf.DUMMYFUNCTION("IF(Account!$F1180&lt;&gt;"""", VALUE(REGEXREPLACE($I1180, ""\,"", ""."")), """")"),"")</f>
        <v/>
      </c>
      <c r="O1180" s="33" t="str">
        <f>IF(Account!$F1180&lt;&gt;"", DATEVALUE(MID($A1180,4,3) &amp; LEFT($A1180,3) &amp; RIGHT($A1180,4)) + TIMEVALUE($B1180), "")</f>
        <v/>
      </c>
      <c r="P1180" s="34" t="str">
        <f>IF(Account!$F1180&lt;&gt;"", DATEVALUE(MID($C1180,4,3) &amp; LEFT($C1180,3) &amp; RIGHT($C1180,4)), "")</f>
        <v/>
      </c>
      <c r="Q1180" s="35" t="str">
        <f t="array" ref="Q1180">IF($R1180&lt;&gt;"",IFERROR(INDEX(ISIN!$B:$B,MATCH($R1180,ISIN!$C:$C,0))),)</f>
        <v/>
      </c>
      <c r="R1180" s="36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5" t="str">
        <f t="shared" si="1"/>
        <v/>
      </c>
      <c r="T1180" s="37" t="str">
        <f t="shared" si="2"/>
        <v/>
      </c>
      <c r="U1180" s="38" t="str">
        <f t="shared" si="3"/>
        <v/>
      </c>
      <c r="V1180" s="32" t="str">
        <f t="shared" si="4"/>
        <v/>
      </c>
      <c r="W1180" s="39" t="str">
        <f>IFERROR(__xludf.DUMMYFUNCTION(" IF(Account!$F1180&lt;&gt;"""", SPLIT(Account!$F1180, "" ""), """")"),"")</f>
        <v/>
      </c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</row>
    <row r="1181">
      <c r="A1181" s="343"/>
      <c r="B1181" s="344"/>
      <c r="C1181" s="343"/>
      <c r="F1181" s="308"/>
      <c r="G1181" s="291"/>
      <c r="L1181" s="308"/>
      <c r="M1181" s="30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2" t="str">
        <f>IFERROR(__xludf.DUMMYFUNCTION("IF(Account!$F1181&lt;&gt;"""", VALUE(REGEXREPLACE($I1181, ""\,"", ""."")), """")"),"")</f>
        <v/>
      </c>
      <c r="O1181" s="33" t="str">
        <f>IF(Account!$F1181&lt;&gt;"", DATEVALUE(MID($A1181,4,3) &amp; LEFT($A1181,3) &amp; RIGHT($A1181,4)) + TIMEVALUE($B1181), "")</f>
        <v/>
      </c>
      <c r="P1181" s="34" t="str">
        <f>IF(Account!$F1181&lt;&gt;"", DATEVALUE(MID($C1181,4,3) &amp; LEFT($C1181,3) &amp; RIGHT($C1181,4)), "")</f>
        <v/>
      </c>
      <c r="Q1181" s="35" t="str">
        <f t="array" ref="Q1181">IF($R1181&lt;&gt;"",IFERROR(INDEX(ISIN!$B:$B,MATCH($R1181,ISIN!$C:$C,0))),)</f>
        <v/>
      </c>
      <c r="R1181" s="36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5" t="str">
        <f t="shared" si="1"/>
        <v/>
      </c>
      <c r="T1181" s="37" t="str">
        <f t="shared" si="2"/>
        <v/>
      </c>
      <c r="U1181" s="38" t="str">
        <f t="shared" si="3"/>
        <v/>
      </c>
      <c r="V1181" s="32" t="str">
        <f t="shared" si="4"/>
        <v/>
      </c>
      <c r="W1181" s="39" t="str">
        <f>IFERROR(__xludf.DUMMYFUNCTION(" IF(Account!$F1181&lt;&gt;"""", SPLIT(Account!$F1181, "" ""), """")"),"")</f>
        <v/>
      </c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</row>
    <row r="1182">
      <c r="A1182" s="343"/>
      <c r="B1182" s="344"/>
      <c r="C1182" s="343"/>
      <c r="F1182" s="308"/>
      <c r="G1182" s="50"/>
      <c r="L1182" s="308"/>
      <c r="M1182" s="30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2" t="str">
        <f>IFERROR(__xludf.DUMMYFUNCTION("IF(Account!$F1182&lt;&gt;"""", VALUE(REGEXREPLACE($I1182, ""\,"", ""."")), """")"),"")</f>
        <v/>
      </c>
      <c r="O1182" s="33" t="str">
        <f>IF(Account!$F1182&lt;&gt;"", DATEVALUE(MID($A1182,4,3) &amp; LEFT($A1182,3) &amp; RIGHT($A1182,4)) + TIMEVALUE($B1182), "")</f>
        <v/>
      </c>
      <c r="P1182" s="34" t="str">
        <f>IF(Account!$F1182&lt;&gt;"", DATEVALUE(MID($C1182,4,3) &amp; LEFT($C1182,3) &amp; RIGHT($C1182,4)), "")</f>
        <v/>
      </c>
      <c r="Q1182" s="35" t="str">
        <f t="array" ref="Q1182">IF($R1182&lt;&gt;"",IFERROR(INDEX(ISIN!$B:$B,MATCH($R1182,ISIN!$C:$C,0))),)</f>
        <v/>
      </c>
      <c r="R1182" s="36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5" t="str">
        <f t="shared" si="1"/>
        <v/>
      </c>
      <c r="T1182" s="37" t="str">
        <f t="shared" si="2"/>
        <v/>
      </c>
      <c r="U1182" s="38" t="str">
        <f t="shared" si="3"/>
        <v/>
      </c>
      <c r="V1182" s="32" t="str">
        <f t="shared" si="4"/>
        <v/>
      </c>
      <c r="W1182" s="39" t="str">
        <f>IFERROR(__xludf.DUMMYFUNCTION(" IF(Account!$F1182&lt;&gt;"""", SPLIT(Account!$F1182, "" ""), """")"),"")</f>
        <v/>
      </c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</row>
    <row r="1183">
      <c r="A1183" s="343"/>
      <c r="B1183" s="344"/>
      <c r="C1183" s="343"/>
      <c r="F1183" s="308"/>
      <c r="G1183" s="291"/>
      <c r="L1183" s="308"/>
      <c r="M1183" s="30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2" t="str">
        <f>IFERROR(__xludf.DUMMYFUNCTION("IF(Account!$F1183&lt;&gt;"""", VALUE(REGEXREPLACE($I1183, ""\,"", ""."")), """")"),"")</f>
        <v/>
      </c>
      <c r="O1183" s="33" t="str">
        <f>IF(Account!$F1183&lt;&gt;"", DATEVALUE(MID($A1183,4,3) &amp; LEFT($A1183,3) &amp; RIGHT($A1183,4)) + TIMEVALUE($B1183), "")</f>
        <v/>
      </c>
      <c r="P1183" s="34" t="str">
        <f>IF(Account!$F1183&lt;&gt;"", DATEVALUE(MID($C1183,4,3) &amp; LEFT($C1183,3) &amp; RIGHT($C1183,4)), "")</f>
        <v/>
      </c>
      <c r="Q1183" s="35" t="str">
        <f t="array" ref="Q1183">IF($R1183&lt;&gt;"",IFERROR(INDEX(ISIN!$B:$B,MATCH($R1183,ISIN!$C:$C,0))),)</f>
        <v/>
      </c>
      <c r="R1183" s="36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5" t="str">
        <f t="shared" si="1"/>
        <v/>
      </c>
      <c r="T1183" s="37" t="str">
        <f t="shared" si="2"/>
        <v/>
      </c>
      <c r="U1183" s="38" t="str">
        <f t="shared" si="3"/>
        <v/>
      </c>
      <c r="V1183" s="32" t="str">
        <f t="shared" si="4"/>
        <v/>
      </c>
      <c r="W1183" s="39" t="str">
        <f>IFERROR(__xludf.DUMMYFUNCTION(" IF(Account!$F1183&lt;&gt;"""", SPLIT(Account!$F1183, "" ""), """")"),"")</f>
        <v/>
      </c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</row>
    <row r="1184">
      <c r="A1184" s="291"/>
      <c r="B1184" s="291"/>
      <c r="C1184" s="291"/>
      <c r="D1184" s="291"/>
      <c r="E1184" s="291"/>
      <c r="F1184" s="335"/>
      <c r="G1184" s="291"/>
      <c r="H1184" s="291"/>
      <c r="I1184" s="291"/>
      <c r="J1184" s="291"/>
      <c r="K1184" s="291"/>
      <c r="L1184" s="308"/>
      <c r="M1184" s="30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2" t="str">
        <f>IFERROR(__xludf.DUMMYFUNCTION("IF(Account!$F1184&lt;&gt;"""", VALUE(REGEXREPLACE($I1184, ""\,"", ""."")), """")"),"")</f>
        <v/>
      </c>
      <c r="O1184" s="33" t="str">
        <f>IF(Account!$F1184&lt;&gt;"", DATEVALUE(MID($A1184,4,3) &amp; LEFT($A1184,3) &amp; RIGHT($A1184,4)) + TIMEVALUE($B1184), "")</f>
        <v/>
      </c>
      <c r="P1184" s="34" t="str">
        <f>IF(Account!$F1184&lt;&gt;"", DATEVALUE(MID($C1184,4,3) &amp; LEFT($C1184,3) &amp; RIGHT($C1184,4)), "")</f>
        <v/>
      </c>
      <c r="Q1184" s="35" t="str">
        <f t="array" ref="Q1184">IF($R1184&lt;&gt;"",IFERROR(INDEX(ISIN!$B:$B,MATCH($R1184,ISIN!$C:$C,0))),)</f>
        <v/>
      </c>
      <c r="R1184" s="36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5" t="str">
        <f t="shared" si="1"/>
        <v/>
      </c>
      <c r="T1184" s="37" t="str">
        <f t="shared" si="2"/>
        <v/>
      </c>
      <c r="U1184" s="38" t="str">
        <f t="shared" si="3"/>
        <v/>
      </c>
      <c r="V1184" s="32" t="str">
        <f t="shared" si="4"/>
        <v/>
      </c>
      <c r="W1184" s="39" t="str">
        <f>IFERROR(__xludf.DUMMYFUNCTION(" IF(Account!$F1184&lt;&gt;"""", SPLIT(Account!$F1184, "" ""), """")"),"")</f>
        <v/>
      </c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</row>
    <row r="1185">
      <c r="A1185" s="343"/>
      <c r="B1185" s="344"/>
      <c r="C1185" s="343"/>
      <c r="F1185" s="308"/>
      <c r="G1185" s="50"/>
      <c r="L1185" s="308"/>
      <c r="M1185" s="30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2" t="str">
        <f>IFERROR(__xludf.DUMMYFUNCTION("IF(Account!$F1185&lt;&gt;"""", VALUE(REGEXREPLACE($I1185, ""\,"", ""."")), """")"),"")</f>
        <v/>
      </c>
      <c r="O1185" s="33" t="str">
        <f>IF(Account!$F1185&lt;&gt;"", DATEVALUE(MID($A1185,4,3) &amp; LEFT($A1185,3) &amp; RIGHT($A1185,4)) + TIMEVALUE($B1185), "")</f>
        <v/>
      </c>
      <c r="P1185" s="34" t="str">
        <f>IF(Account!$F1185&lt;&gt;"", DATEVALUE(MID($C1185,4,3) &amp; LEFT($C1185,3) &amp; RIGHT($C1185,4)), "")</f>
        <v/>
      </c>
      <c r="Q1185" s="35" t="str">
        <f t="array" ref="Q1185">IF($R1185&lt;&gt;"",IFERROR(INDEX(ISIN!$B:$B,MATCH($R1185,ISIN!$C:$C,0))),)</f>
        <v/>
      </c>
      <c r="R1185" s="36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5" t="str">
        <f t="shared" si="1"/>
        <v/>
      </c>
      <c r="T1185" s="37" t="str">
        <f t="shared" si="2"/>
        <v/>
      </c>
      <c r="U1185" s="38" t="str">
        <f t="shared" si="3"/>
        <v/>
      </c>
      <c r="V1185" s="32" t="str">
        <f t="shared" si="4"/>
        <v/>
      </c>
      <c r="W1185" s="39" t="str">
        <f>IFERROR(__xludf.DUMMYFUNCTION(" IF(Account!$F1185&lt;&gt;"""", SPLIT(Account!$F1185, "" ""), """")"),"")</f>
        <v/>
      </c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</row>
    <row r="1186">
      <c r="A1186" s="343"/>
      <c r="B1186" s="344"/>
      <c r="C1186" s="343"/>
      <c r="F1186" s="308"/>
      <c r="G1186" s="291"/>
      <c r="L1186" s="308"/>
      <c r="M1186" s="30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2" t="str">
        <f>IFERROR(__xludf.DUMMYFUNCTION("IF(Account!$F1186&lt;&gt;"""", VALUE(REGEXREPLACE($I1186, ""\,"", ""."")), """")"),"")</f>
        <v/>
      </c>
      <c r="O1186" s="33" t="str">
        <f>IF(Account!$F1186&lt;&gt;"", DATEVALUE(MID($A1186,4,3) &amp; LEFT($A1186,3) &amp; RIGHT($A1186,4)) + TIMEVALUE($B1186), "")</f>
        <v/>
      </c>
      <c r="P1186" s="34" t="str">
        <f>IF(Account!$F1186&lt;&gt;"", DATEVALUE(MID($C1186,4,3) &amp; LEFT($C1186,3) &amp; RIGHT($C1186,4)), "")</f>
        <v/>
      </c>
      <c r="Q1186" s="35" t="str">
        <f t="array" ref="Q1186">IF($R1186&lt;&gt;"",IFERROR(INDEX(ISIN!$B:$B,MATCH($R1186,ISIN!$C:$C,0))),)</f>
        <v/>
      </c>
      <c r="R1186" s="36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5" t="str">
        <f t="shared" si="1"/>
        <v/>
      </c>
      <c r="T1186" s="37" t="str">
        <f t="shared" si="2"/>
        <v/>
      </c>
      <c r="U1186" s="38" t="str">
        <f t="shared" si="3"/>
        <v/>
      </c>
      <c r="V1186" s="32" t="str">
        <f t="shared" si="4"/>
        <v/>
      </c>
      <c r="W1186" s="39" t="str">
        <f>IFERROR(__xludf.DUMMYFUNCTION(" IF(Account!$F1186&lt;&gt;"""", SPLIT(Account!$F1186, "" ""), """")"),"")</f>
        <v/>
      </c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</row>
    <row r="1187">
      <c r="A1187" s="343"/>
      <c r="B1187" s="344"/>
      <c r="C1187" s="343"/>
      <c r="F1187" s="308"/>
      <c r="G1187" s="291"/>
      <c r="L1187" s="308"/>
      <c r="M1187" s="30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2" t="str">
        <f>IFERROR(__xludf.DUMMYFUNCTION("IF(Account!$F1187&lt;&gt;"""", VALUE(REGEXREPLACE($I1187, ""\,"", ""."")), """")"),"")</f>
        <v/>
      </c>
      <c r="O1187" s="33" t="str">
        <f>IF(Account!$F1187&lt;&gt;"", DATEVALUE(MID($A1187,4,3) &amp; LEFT($A1187,3) &amp; RIGHT($A1187,4)) + TIMEVALUE($B1187), "")</f>
        <v/>
      </c>
      <c r="P1187" s="34" t="str">
        <f>IF(Account!$F1187&lt;&gt;"", DATEVALUE(MID($C1187,4,3) &amp; LEFT($C1187,3) &amp; RIGHT($C1187,4)), "")</f>
        <v/>
      </c>
      <c r="Q1187" s="35" t="str">
        <f t="array" ref="Q1187">IF($R1187&lt;&gt;"",IFERROR(INDEX(ISIN!$B:$B,MATCH($R1187,ISIN!$C:$C,0))),)</f>
        <v/>
      </c>
      <c r="R1187" s="36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5" t="str">
        <f t="shared" si="1"/>
        <v/>
      </c>
      <c r="T1187" s="37" t="str">
        <f t="shared" si="2"/>
        <v/>
      </c>
      <c r="U1187" s="38" t="str">
        <f t="shared" si="3"/>
        <v/>
      </c>
      <c r="V1187" s="32" t="str">
        <f t="shared" si="4"/>
        <v/>
      </c>
      <c r="W1187" s="39" t="str">
        <f>IFERROR(__xludf.DUMMYFUNCTION(" IF(Account!$F1187&lt;&gt;"""", SPLIT(Account!$F1187, "" ""), """")"),"")</f>
        <v/>
      </c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</row>
    <row r="1188">
      <c r="A1188" s="343"/>
      <c r="B1188" s="344"/>
      <c r="C1188" s="343"/>
      <c r="F1188" s="308"/>
      <c r="G1188" s="291"/>
      <c r="L1188" s="308"/>
      <c r="M1188" s="30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2" t="str">
        <f>IFERROR(__xludf.DUMMYFUNCTION("IF(Account!$F1188&lt;&gt;"""", VALUE(REGEXREPLACE($I1188, ""\,"", ""."")), """")"),"")</f>
        <v/>
      </c>
      <c r="O1188" s="33" t="str">
        <f>IF(Account!$F1188&lt;&gt;"", DATEVALUE(MID($A1188,4,3) &amp; LEFT($A1188,3) &amp; RIGHT($A1188,4)) + TIMEVALUE($B1188), "")</f>
        <v/>
      </c>
      <c r="P1188" s="34" t="str">
        <f>IF(Account!$F1188&lt;&gt;"", DATEVALUE(MID($C1188,4,3) &amp; LEFT($C1188,3) &amp; RIGHT($C1188,4)), "")</f>
        <v/>
      </c>
      <c r="Q1188" s="35" t="str">
        <f t="array" ref="Q1188">IF($R1188&lt;&gt;"",IFERROR(INDEX(ISIN!$B:$B,MATCH($R1188,ISIN!$C:$C,0))),)</f>
        <v/>
      </c>
      <c r="R1188" s="36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5" t="str">
        <f t="shared" si="1"/>
        <v/>
      </c>
      <c r="T1188" s="37" t="str">
        <f t="shared" si="2"/>
        <v/>
      </c>
      <c r="U1188" s="38" t="str">
        <f t="shared" si="3"/>
        <v/>
      </c>
      <c r="V1188" s="32" t="str">
        <f t="shared" si="4"/>
        <v/>
      </c>
      <c r="W1188" s="39" t="str">
        <f>IFERROR(__xludf.DUMMYFUNCTION(" IF(Account!$F1188&lt;&gt;"""", SPLIT(Account!$F1188, "" ""), """")"),"")</f>
        <v/>
      </c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</row>
    <row r="1189">
      <c r="A1189" s="343"/>
      <c r="B1189" s="344"/>
      <c r="C1189" s="343"/>
      <c r="F1189" s="308"/>
      <c r="G1189" s="291"/>
      <c r="L1189" s="308"/>
      <c r="M1189" s="30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2" t="str">
        <f>IFERROR(__xludf.DUMMYFUNCTION("IF(Account!$F1189&lt;&gt;"""", VALUE(REGEXREPLACE($I1189, ""\,"", ""."")), """")"),"")</f>
        <v/>
      </c>
      <c r="O1189" s="33" t="str">
        <f>IF(Account!$F1189&lt;&gt;"", DATEVALUE(MID($A1189,4,3) &amp; LEFT($A1189,3) &amp; RIGHT($A1189,4)) + TIMEVALUE($B1189), "")</f>
        <v/>
      </c>
      <c r="P1189" s="34" t="str">
        <f>IF(Account!$F1189&lt;&gt;"", DATEVALUE(MID($C1189,4,3) &amp; LEFT($C1189,3) &amp; RIGHT($C1189,4)), "")</f>
        <v/>
      </c>
      <c r="Q1189" s="35" t="str">
        <f t="array" ref="Q1189">IF($R1189&lt;&gt;"",IFERROR(INDEX(ISIN!$B:$B,MATCH($R1189,ISIN!$C:$C,0))),)</f>
        <v/>
      </c>
      <c r="R1189" s="36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5" t="str">
        <f t="shared" si="1"/>
        <v/>
      </c>
      <c r="T1189" s="37" t="str">
        <f t="shared" si="2"/>
        <v/>
      </c>
      <c r="U1189" s="38" t="str">
        <f t="shared" si="3"/>
        <v/>
      </c>
      <c r="V1189" s="32" t="str">
        <f t="shared" si="4"/>
        <v/>
      </c>
      <c r="W1189" s="39" t="str">
        <f>IFERROR(__xludf.DUMMYFUNCTION(" IF(Account!$F1189&lt;&gt;"""", SPLIT(Account!$F1189, "" ""), """")"),"")</f>
        <v/>
      </c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</row>
    <row r="1190">
      <c r="A1190" s="343"/>
      <c r="B1190" s="344"/>
      <c r="C1190" s="343"/>
      <c r="F1190" s="308"/>
      <c r="G1190" s="291"/>
      <c r="L1190" s="308"/>
      <c r="M1190" s="30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2" t="str">
        <f>IFERROR(__xludf.DUMMYFUNCTION("IF(Account!$F1190&lt;&gt;"""", VALUE(REGEXREPLACE($I1190, ""\,"", ""."")), """")"),"")</f>
        <v/>
      </c>
      <c r="O1190" s="33" t="str">
        <f>IF(Account!$F1190&lt;&gt;"", DATEVALUE(MID($A1190,4,3) &amp; LEFT($A1190,3) &amp; RIGHT($A1190,4)) + TIMEVALUE($B1190), "")</f>
        <v/>
      </c>
      <c r="P1190" s="34" t="str">
        <f>IF(Account!$F1190&lt;&gt;"", DATEVALUE(MID($C1190,4,3) &amp; LEFT($C1190,3) &amp; RIGHT($C1190,4)), "")</f>
        <v/>
      </c>
      <c r="Q1190" s="35" t="str">
        <f t="array" ref="Q1190">IF($R1190&lt;&gt;"",IFERROR(INDEX(ISIN!$B:$B,MATCH($R1190,ISIN!$C:$C,0))),)</f>
        <v/>
      </c>
      <c r="R1190" s="36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5" t="str">
        <f t="shared" si="1"/>
        <v/>
      </c>
      <c r="T1190" s="37" t="str">
        <f t="shared" si="2"/>
        <v/>
      </c>
      <c r="U1190" s="38" t="str">
        <f t="shared" si="3"/>
        <v/>
      </c>
      <c r="V1190" s="32" t="str">
        <f t="shared" si="4"/>
        <v/>
      </c>
      <c r="W1190" s="39" t="str">
        <f>IFERROR(__xludf.DUMMYFUNCTION(" IF(Account!$F1190&lt;&gt;"""", SPLIT(Account!$F1190, "" ""), """")"),"")</f>
        <v/>
      </c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</row>
    <row r="1191">
      <c r="A1191" s="343"/>
      <c r="B1191" s="344"/>
      <c r="C1191" s="343"/>
      <c r="F1191" s="308"/>
      <c r="G1191" s="291"/>
      <c r="L1191" s="308"/>
      <c r="M1191" s="30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2" t="str">
        <f>IFERROR(__xludf.DUMMYFUNCTION("IF(Account!$F1191&lt;&gt;"""", VALUE(REGEXREPLACE($I1191, ""\,"", ""."")), """")"),"")</f>
        <v/>
      </c>
      <c r="O1191" s="33" t="str">
        <f>IF(Account!$F1191&lt;&gt;"", DATEVALUE(MID($A1191,4,3) &amp; LEFT($A1191,3) &amp; RIGHT($A1191,4)) + TIMEVALUE($B1191), "")</f>
        <v/>
      </c>
      <c r="P1191" s="34" t="str">
        <f>IF(Account!$F1191&lt;&gt;"", DATEVALUE(MID($C1191,4,3) &amp; LEFT($C1191,3) &amp; RIGHT($C1191,4)), "")</f>
        <v/>
      </c>
      <c r="Q1191" s="35" t="str">
        <f t="array" ref="Q1191">IF($R1191&lt;&gt;"",IFERROR(INDEX(ISIN!$B:$B,MATCH($R1191,ISIN!$C:$C,0))),)</f>
        <v/>
      </c>
      <c r="R1191" s="36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5" t="str">
        <f t="shared" si="1"/>
        <v/>
      </c>
      <c r="T1191" s="37" t="str">
        <f t="shared" si="2"/>
        <v/>
      </c>
      <c r="U1191" s="38" t="str">
        <f t="shared" si="3"/>
        <v/>
      </c>
      <c r="V1191" s="32" t="str">
        <f t="shared" si="4"/>
        <v/>
      </c>
      <c r="W1191" s="39" t="str">
        <f>IFERROR(__xludf.DUMMYFUNCTION(" IF(Account!$F1191&lt;&gt;"""", SPLIT(Account!$F1191, "" ""), """")"),"")</f>
        <v/>
      </c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</row>
    <row r="1192">
      <c r="A1192" s="343"/>
      <c r="B1192" s="344"/>
      <c r="C1192" s="343"/>
      <c r="F1192" s="308"/>
      <c r="G1192" s="291"/>
      <c r="L1192" s="308"/>
      <c r="M1192" s="30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2" t="str">
        <f>IFERROR(__xludf.DUMMYFUNCTION("IF(Account!$F1192&lt;&gt;"""", VALUE(REGEXREPLACE($I1192, ""\,"", ""."")), """")"),"")</f>
        <v/>
      </c>
      <c r="O1192" s="33" t="str">
        <f>IF(Account!$F1192&lt;&gt;"", DATEVALUE(MID($A1192,4,3) &amp; LEFT($A1192,3) &amp; RIGHT($A1192,4)) + TIMEVALUE($B1192), "")</f>
        <v/>
      </c>
      <c r="P1192" s="34" t="str">
        <f>IF(Account!$F1192&lt;&gt;"", DATEVALUE(MID($C1192,4,3) &amp; LEFT($C1192,3) &amp; RIGHT($C1192,4)), "")</f>
        <v/>
      </c>
      <c r="Q1192" s="35" t="str">
        <f t="array" ref="Q1192">IF($R1192&lt;&gt;"",IFERROR(INDEX(ISIN!$B:$B,MATCH($R1192,ISIN!$C:$C,0))),)</f>
        <v/>
      </c>
      <c r="R1192" s="36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5" t="str">
        <f t="shared" si="1"/>
        <v/>
      </c>
      <c r="T1192" s="37" t="str">
        <f t="shared" si="2"/>
        <v/>
      </c>
      <c r="U1192" s="38" t="str">
        <f t="shared" si="3"/>
        <v/>
      </c>
      <c r="V1192" s="32" t="str">
        <f t="shared" si="4"/>
        <v/>
      </c>
      <c r="W1192" s="39" t="str">
        <f>IFERROR(__xludf.DUMMYFUNCTION(" IF(Account!$F1192&lt;&gt;"""", SPLIT(Account!$F1192, "" ""), """")"),"")</f>
        <v/>
      </c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</row>
    <row r="1193">
      <c r="A1193" s="343"/>
      <c r="B1193" s="344"/>
      <c r="C1193" s="343"/>
      <c r="F1193" s="308"/>
      <c r="G1193" s="50"/>
      <c r="L1193" s="308"/>
      <c r="M1193" s="30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2" t="str">
        <f>IFERROR(__xludf.DUMMYFUNCTION("IF(Account!$F1193&lt;&gt;"""", VALUE(REGEXREPLACE($I1193, ""\,"", ""."")), """")"),"")</f>
        <v/>
      </c>
      <c r="O1193" s="33" t="str">
        <f>IF(Account!$F1193&lt;&gt;"", DATEVALUE(MID($A1193,4,3) &amp; LEFT($A1193,3) &amp; RIGHT($A1193,4)) + TIMEVALUE($B1193), "")</f>
        <v/>
      </c>
      <c r="P1193" s="34" t="str">
        <f>IF(Account!$F1193&lt;&gt;"", DATEVALUE(MID($C1193,4,3) &amp; LEFT($C1193,3) &amp; RIGHT($C1193,4)), "")</f>
        <v/>
      </c>
      <c r="Q1193" s="35" t="str">
        <f t="array" ref="Q1193">IF($R1193&lt;&gt;"",IFERROR(INDEX(ISIN!$B:$B,MATCH($R1193,ISIN!$C:$C,0))),)</f>
        <v/>
      </c>
      <c r="R1193" s="36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5" t="str">
        <f t="shared" si="1"/>
        <v/>
      </c>
      <c r="T1193" s="37" t="str">
        <f t="shared" si="2"/>
        <v/>
      </c>
      <c r="U1193" s="38" t="str">
        <f t="shared" si="3"/>
        <v/>
      </c>
      <c r="V1193" s="32" t="str">
        <f t="shared" si="4"/>
        <v/>
      </c>
      <c r="W1193" s="39" t="str">
        <f>IFERROR(__xludf.DUMMYFUNCTION(" IF(Account!$F1193&lt;&gt;"""", SPLIT(Account!$F1193, "" ""), """")"),"")</f>
        <v/>
      </c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</row>
    <row r="1194">
      <c r="A1194" s="343"/>
      <c r="B1194" s="344"/>
      <c r="C1194" s="343"/>
      <c r="F1194" s="308"/>
      <c r="G1194" s="291"/>
      <c r="L1194" s="308"/>
      <c r="M1194" s="30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2" t="str">
        <f>IFERROR(__xludf.DUMMYFUNCTION("IF(Account!$F1194&lt;&gt;"""", VALUE(REGEXREPLACE($I1194, ""\,"", ""."")), """")"),"")</f>
        <v/>
      </c>
      <c r="O1194" s="33" t="str">
        <f>IF(Account!$F1194&lt;&gt;"", DATEVALUE(MID($A1194,4,3) &amp; LEFT($A1194,3) &amp; RIGHT($A1194,4)) + TIMEVALUE($B1194), "")</f>
        <v/>
      </c>
      <c r="P1194" s="34" t="str">
        <f>IF(Account!$F1194&lt;&gt;"", DATEVALUE(MID($C1194,4,3) &amp; LEFT($C1194,3) &amp; RIGHT($C1194,4)), "")</f>
        <v/>
      </c>
      <c r="Q1194" s="35" t="str">
        <f t="array" ref="Q1194">IF($R1194&lt;&gt;"",IFERROR(INDEX(ISIN!$B:$B,MATCH($R1194,ISIN!$C:$C,0))),)</f>
        <v/>
      </c>
      <c r="R1194" s="36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5" t="str">
        <f t="shared" si="1"/>
        <v/>
      </c>
      <c r="T1194" s="37" t="str">
        <f t="shared" si="2"/>
        <v/>
      </c>
      <c r="U1194" s="38" t="str">
        <f t="shared" si="3"/>
        <v/>
      </c>
      <c r="V1194" s="32" t="str">
        <f t="shared" si="4"/>
        <v/>
      </c>
      <c r="W1194" s="39" t="str">
        <f>IFERROR(__xludf.DUMMYFUNCTION(" IF(Account!$F1194&lt;&gt;"""", SPLIT(Account!$F1194, "" ""), """")"),"")</f>
        <v/>
      </c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</row>
    <row r="1195">
      <c r="A1195" s="343"/>
      <c r="B1195" s="344"/>
      <c r="C1195" s="343"/>
      <c r="F1195" s="308"/>
      <c r="G1195" s="291"/>
      <c r="L1195" s="308"/>
      <c r="M1195" s="30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2" t="str">
        <f>IFERROR(__xludf.DUMMYFUNCTION("IF(Account!$F1195&lt;&gt;"""", VALUE(REGEXREPLACE($I1195, ""\,"", ""."")), """")"),"")</f>
        <v/>
      </c>
      <c r="O1195" s="33" t="str">
        <f>IF(Account!$F1195&lt;&gt;"", DATEVALUE(MID($A1195,4,3) &amp; LEFT($A1195,3) &amp; RIGHT($A1195,4)) + TIMEVALUE($B1195), "")</f>
        <v/>
      </c>
      <c r="P1195" s="34" t="str">
        <f>IF(Account!$F1195&lt;&gt;"", DATEVALUE(MID($C1195,4,3) &amp; LEFT($C1195,3) &amp; RIGHT($C1195,4)), "")</f>
        <v/>
      </c>
      <c r="Q1195" s="35" t="str">
        <f t="array" ref="Q1195">IF($R1195&lt;&gt;"",IFERROR(INDEX(ISIN!$B:$B,MATCH($R1195,ISIN!$C:$C,0))),)</f>
        <v/>
      </c>
      <c r="R1195" s="36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5" t="str">
        <f t="shared" si="1"/>
        <v/>
      </c>
      <c r="T1195" s="37" t="str">
        <f t="shared" si="2"/>
        <v/>
      </c>
      <c r="U1195" s="38" t="str">
        <f t="shared" si="3"/>
        <v/>
      </c>
      <c r="V1195" s="32" t="str">
        <f t="shared" si="4"/>
        <v/>
      </c>
      <c r="W1195" s="39" t="str">
        <f>IFERROR(__xludf.DUMMYFUNCTION(" IF(Account!$F1195&lt;&gt;"""", SPLIT(Account!$F1195, "" ""), """")"),"")</f>
        <v/>
      </c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</row>
    <row r="1196">
      <c r="A1196" s="343"/>
      <c r="B1196" s="344"/>
      <c r="C1196" s="343"/>
      <c r="F1196" s="308"/>
      <c r="G1196" s="50"/>
      <c r="L1196" s="308"/>
      <c r="M1196" s="30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2" t="str">
        <f>IFERROR(__xludf.DUMMYFUNCTION("IF(Account!$F1196&lt;&gt;"""", VALUE(REGEXREPLACE($I1196, ""\,"", ""."")), """")"),"")</f>
        <v/>
      </c>
      <c r="O1196" s="33" t="str">
        <f>IF(Account!$F1196&lt;&gt;"", DATEVALUE(MID($A1196,4,3) &amp; LEFT($A1196,3) &amp; RIGHT($A1196,4)) + TIMEVALUE($B1196), "")</f>
        <v/>
      </c>
      <c r="P1196" s="34" t="str">
        <f>IF(Account!$F1196&lt;&gt;"", DATEVALUE(MID($C1196,4,3) &amp; LEFT($C1196,3) &amp; RIGHT($C1196,4)), "")</f>
        <v/>
      </c>
      <c r="Q1196" s="35" t="str">
        <f t="array" ref="Q1196">IF($R1196&lt;&gt;"",IFERROR(INDEX(ISIN!$B:$B,MATCH($R1196,ISIN!$C:$C,0))),)</f>
        <v/>
      </c>
      <c r="R1196" s="36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5" t="str">
        <f t="shared" si="1"/>
        <v/>
      </c>
      <c r="T1196" s="37" t="str">
        <f t="shared" si="2"/>
        <v/>
      </c>
      <c r="U1196" s="38" t="str">
        <f t="shared" si="3"/>
        <v/>
      </c>
      <c r="V1196" s="32" t="str">
        <f t="shared" si="4"/>
        <v/>
      </c>
      <c r="W1196" s="39" t="str">
        <f>IFERROR(__xludf.DUMMYFUNCTION(" IF(Account!$F1196&lt;&gt;"""", SPLIT(Account!$F1196, "" ""), """")"),"")</f>
        <v/>
      </c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</row>
    <row r="1197">
      <c r="A1197" s="343"/>
      <c r="B1197" s="344"/>
      <c r="C1197" s="343"/>
      <c r="F1197" s="308"/>
      <c r="G1197" s="291"/>
      <c r="L1197" s="308"/>
      <c r="M1197" s="30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2" t="str">
        <f>IFERROR(__xludf.DUMMYFUNCTION("IF(Account!$F1197&lt;&gt;"""", VALUE(REGEXREPLACE($I1197, ""\,"", ""."")), """")"),"")</f>
        <v/>
      </c>
      <c r="O1197" s="33" t="str">
        <f>IF(Account!$F1197&lt;&gt;"", DATEVALUE(MID($A1197,4,3) &amp; LEFT($A1197,3) &amp; RIGHT($A1197,4)) + TIMEVALUE($B1197), "")</f>
        <v/>
      </c>
      <c r="P1197" s="34" t="str">
        <f>IF(Account!$F1197&lt;&gt;"", DATEVALUE(MID($C1197,4,3) &amp; LEFT($C1197,3) &amp; RIGHT($C1197,4)), "")</f>
        <v/>
      </c>
      <c r="Q1197" s="35" t="str">
        <f t="array" ref="Q1197">IF($R1197&lt;&gt;"",IFERROR(INDEX(ISIN!$B:$B,MATCH($R1197,ISIN!$C:$C,0))),)</f>
        <v/>
      </c>
      <c r="R1197" s="36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5" t="str">
        <f t="shared" si="1"/>
        <v/>
      </c>
      <c r="T1197" s="37" t="str">
        <f t="shared" si="2"/>
        <v/>
      </c>
      <c r="U1197" s="38" t="str">
        <f t="shared" si="3"/>
        <v/>
      </c>
      <c r="V1197" s="32" t="str">
        <f t="shared" si="4"/>
        <v/>
      </c>
      <c r="W1197" s="39" t="str">
        <f>IFERROR(__xludf.DUMMYFUNCTION(" IF(Account!$F1197&lt;&gt;"""", SPLIT(Account!$F1197, "" ""), """")"),"")</f>
        <v/>
      </c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</row>
    <row r="1198">
      <c r="A1198" s="343"/>
      <c r="B1198" s="344"/>
      <c r="C1198" s="343"/>
      <c r="F1198" s="308"/>
      <c r="G1198" s="291"/>
      <c r="L1198" s="308"/>
      <c r="M1198" s="30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2" t="str">
        <f>IFERROR(__xludf.DUMMYFUNCTION("IF(Account!$F1198&lt;&gt;"""", VALUE(REGEXREPLACE($I1198, ""\,"", ""."")), """")"),"")</f>
        <v/>
      </c>
      <c r="O1198" s="33" t="str">
        <f>IF(Account!$F1198&lt;&gt;"", DATEVALUE(MID($A1198,4,3) &amp; LEFT($A1198,3) &amp; RIGHT($A1198,4)) + TIMEVALUE($B1198), "")</f>
        <v/>
      </c>
      <c r="P1198" s="34" t="str">
        <f>IF(Account!$F1198&lt;&gt;"", DATEVALUE(MID($C1198,4,3) &amp; LEFT($C1198,3) &amp; RIGHT($C1198,4)), "")</f>
        <v/>
      </c>
      <c r="Q1198" s="35" t="str">
        <f t="array" ref="Q1198">IF($R1198&lt;&gt;"",IFERROR(INDEX(ISIN!$B:$B,MATCH($R1198,ISIN!$C:$C,0))),)</f>
        <v/>
      </c>
      <c r="R1198" s="36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5" t="str">
        <f t="shared" si="1"/>
        <v/>
      </c>
      <c r="T1198" s="37" t="str">
        <f t="shared" si="2"/>
        <v/>
      </c>
      <c r="U1198" s="38" t="str">
        <f t="shared" si="3"/>
        <v/>
      </c>
      <c r="V1198" s="32" t="str">
        <f t="shared" si="4"/>
        <v/>
      </c>
      <c r="W1198" s="39" t="str">
        <f>IFERROR(__xludf.DUMMYFUNCTION(" IF(Account!$F1198&lt;&gt;"""", SPLIT(Account!$F1198, "" ""), """")"),"")</f>
        <v/>
      </c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</row>
    <row r="1199">
      <c r="B1199" s="344"/>
      <c r="D1199" s="291"/>
      <c r="E1199" s="291"/>
      <c r="F1199" s="308"/>
      <c r="G1199" s="291"/>
      <c r="L1199" s="335"/>
      <c r="M1199" s="30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2" t="str">
        <f>IFERROR(__xludf.DUMMYFUNCTION("IF(Account!$F1199&lt;&gt;"""", VALUE(REGEXREPLACE($I1199, ""\,"", ""."")), """")"),"")</f>
        <v/>
      </c>
      <c r="O1199" s="33" t="str">
        <f>IF(Account!$F1199&lt;&gt;"", DATEVALUE(MID($A1199,4,3) &amp; LEFT($A1199,3) &amp; RIGHT($A1199,4)) + TIMEVALUE($B1199), "")</f>
        <v/>
      </c>
      <c r="P1199" s="34" t="str">
        <f>IF(Account!$F1199&lt;&gt;"", DATEVALUE(MID($C1199,4,3) &amp; LEFT($C1199,3) &amp; RIGHT($C1199,4)), "")</f>
        <v/>
      </c>
      <c r="Q1199" s="35" t="str">
        <f t="array" ref="Q1199">IF($R1199&lt;&gt;"",IFERROR(INDEX(ISIN!$B:$B,MATCH($R1199,ISIN!$C:$C,0))),)</f>
        <v/>
      </c>
      <c r="R1199" s="36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5" t="str">
        <f t="shared" si="1"/>
        <v/>
      </c>
      <c r="T1199" s="37" t="str">
        <f t="shared" si="2"/>
        <v/>
      </c>
      <c r="U1199" s="38" t="str">
        <f t="shared" si="3"/>
        <v/>
      </c>
      <c r="V1199" s="32" t="str">
        <f t="shared" si="4"/>
        <v/>
      </c>
      <c r="W1199" s="39" t="str">
        <f>IFERROR(__xludf.DUMMYFUNCTION(" IF(Account!$F1199&lt;&gt;"""", SPLIT(Account!$F1199, "" ""), """")"),"")</f>
        <v/>
      </c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</row>
    <row r="1200">
      <c r="B1200" s="344"/>
      <c r="D1200" s="291"/>
      <c r="E1200" s="291"/>
      <c r="F1200" s="308"/>
      <c r="G1200" s="291"/>
      <c r="L1200" s="335"/>
      <c r="M1200" s="30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2" t="str">
        <f>IFERROR(__xludf.DUMMYFUNCTION("IF(Account!$F1200&lt;&gt;"""", VALUE(REGEXREPLACE($I1200, ""\,"", ""."")), """")"),"")</f>
        <v/>
      </c>
      <c r="O1200" s="33" t="str">
        <f>IF(Account!$F1200&lt;&gt;"", DATEVALUE(MID($A1200,4,3) &amp; LEFT($A1200,3) &amp; RIGHT($A1200,4)) + TIMEVALUE($B1200), "")</f>
        <v/>
      </c>
      <c r="P1200" s="34" t="str">
        <f>IF(Account!$F1200&lt;&gt;"", DATEVALUE(MID($C1200,4,3) &amp; LEFT($C1200,3) &amp; RIGHT($C1200,4)), "")</f>
        <v/>
      </c>
      <c r="Q1200" s="35" t="str">
        <f t="array" ref="Q1200">IF($R1200&lt;&gt;"",IFERROR(INDEX(ISIN!$B:$B,MATCH($R1200,ISIN!$C:$C,0))),)</f>
        <v/>
      </c>
      <c r="R1200" s="36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5" t="str">
        <f t="shared" si="1"/>
        <v/>
      </c>
      <c r="T1200" s="37" t="str">
        <f t="shared" si="2"/>
        <v/>
      </c>
      <c r="U1200" s="38" t="str">
        <f t="shared" si="3"/>
        <v/>
      </c>
      <c r="V1200" s="32" t="str">
        <f t="shared" si="4"/>
        <v/>
      </c>
      <c r="W1200" s="39" t="str">
        <f>IFERROR(__xludf.DUMMYFUNCTION(" IF(Account!$F1200&lt;&gt;"""", SPLIT(Account!$F1200, "" ""), """")"),"")</f>
        <v/>
      </c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42" t="str">
        <f>IFERROR(__xludf.DUMMYFUNCTION("UNIQUE(Account!P:V)"),"Date")</f>
        <v>Date</v>
      </c>
      <c r="B1" s="43" t="str">
        <f>IFERROR(__xludf.DUMMYFUNCTION("""COMPUTED_VALUE"""),"Type")</f>
        <v>Type</v>
      </c>
      <c r="C1" s="44" t="str">
        <f>IFERROR(__xludf.DUMMYFUNCTION("""COMPUTED_VALUE"""),"Label")</f>
        <v>Label</v>
      </c>
      <c r="D1" s="43" t="str">
        <f>IFERROR(__xludf.DUMMYFUNCTION("""COMPUTED_VALUE"""),"Transaction")</f>
        <v>Transaction</v>
      </c>
      <c r="E1" s="43" t="str">
        <f>IFERROR(__xludf.DUMMYFUNCTION("""COMPUTED_VALUE"""),"Quantity")</f>
        <v>Quantity</v>
      </c>
      <c r="F1" s="45" t="str">
        <f>IFERROR(__xludf.DUMMYFUNCTION("""COMPUTED_VALUE"""),"Price")</f>
        <v>Price</v>
      </c>
      <c r="G1" s="46" t="str">
        <f>IFERROR(__xludf.DUMMYFUNCTION("""COMPUTED_VALUE"""),"Value")</f>
        <v>Value</v>
      </c>
      <c r="H1" s="3" t="s">
        <v>80</v>
      </c>
    </row>
    <row r="2">
      <c r="A2" s="47">
        <f>IFERROR(__xludf.DUMMYFUNCTION("""COMPUTED_VALUE"""),43773.0)</f>
        <v>43773</v>
      </c>
      <c r="B2" t="str">
        <f>IFERROR(__xludf.DUMMYFUNCTION("""COMPUTED_VALUE"""),"Stocks")</f>
        <v>Stocks</v>
      </c>
      <c r="C2" s="48" t="str">
        <f>IFERROR(__xludf.DUMMYFUNCTION("""COMPUTED_VALUE"""),"Vanguard S&amp;P 500 UCITS")</f>
        <v>Vanguard S&amp;P 500 UCITS</v>
      </c>
      <c r="D2" s="49" t="str">
        <f>IFERROR(__xludf.DUMMYFUNCTION("""COMPUTED_VALUE"""),"SELL")</f>
        <v>SELL</v>
      </c>
      <c r="E2" s="50">
        <f>IFERROR(__xludf.DUMMYFUNCTION("""COMPUTED_VALUE"""),-24.0)</f>
        <v>-24</v>
      </c>
      <c r="F2" s="51">
        <f>IFERROR(__xludf.DUMMYFUNCTION("""COMPUTED_VALUE"""),52.48291666666666)</f>
        <v>52.48291667</v>
      </c>
      <c r="G2" s="52">
        <f>IFERROR(__xludf.DUMMYFUNCTION("""COMPUTED_VALUE"""),1259.59)</f>
        <v>1259.59</v>
      </c>
      <c r="H2" s="53" t="str">
        <f t="shared" ref="H2:H1078" si="1">IF(D2&lt;&gt;"",C2 &amp; "@" &amp; D2 &amp; "@" &amp; E2 &amp; "@" &amp; G2,"")</f>
        <v>Vanguard S&amp;P 500 UCITS@SELL@-24@1259.59</v>
      </c>
    </row>
    <row r="3">
      <c r="A3" s="47">
        <f>IFERROR(__xludf.DUMMYFUNCTION("""COMPUTED_VALUE"""),43773.0)</f>
        <v>43773</v>
      </c>
      <c r="B3" t="str">
        <f>IFERROR(__xludf.DUMMYFUNCTION("""COMPUTED_VALUE"""),"Stocks")</f>
        <v>Stocks</v>
      </c>
      <c r="C3" s="48" t="str">
        <f>IFERROR(__xludf.DUMMYFUNCTION("""COMPUTED_VALUE"""),"Vanguard S&amp;P 500 UCITS")</f>
        <v>Vanguard S&amp;P 500 UCITS</v>
      </c>
      <c r="D3" s="49" t="str">
        <f>IFERROR(__xludf.DUMMYFUNCTION("""COMPUTED_VALUE"""),"SELL")</f>
        <v>SELL</v>
      </c>
      <c r="E3" s="50">
        <f>IFERROR(__xludf.DUMMYFUNCTION("""COMPUTED_VALUE"""),-16.0)</f>
        <v>-16</v>
      </c>
      <c r="F3" s="51">
        <f>IFERROR(__xludf.DUMMYFUNCTION("""COMPUTED_VALUE"""),52.423125)</f>
        <v>52.423125</v>
      </c>
      <c r="G3" s="52">
        <f>IFERROR(__xludf.DUMMYFUNCTION("""COMPUTED_VALUE"""),838.77)</f>
        <v>838.77</v>
      </c>
      <c r="H3" s="53" t="str">
        <f t="shared" si="1"/>
        <v>Vanguard S&amp;P 500 UCITS@SELL@-16@838.77</v>
      </c>
    </row>
    <row r="4">
      <c r="A4" s="47">
        <f>IFERROR(__xludf.DUMMYFUNCTION("""COMPUTED_VALUE"""),43769.0)</f>
        <v>43769</v>
      </c>
      <c r="B4" t="str">
        <f>IFERROR(__xludf.DUMMYFUNCTION("""COMPUTED_VALUE"""),"")</f>
        <v/>
      </c>
      <c r="C4" s="48" t="str">
        <f>IFERROR(__xludf.DUMMYFUNCTION("""COMPUTED_VALUE"""),"")</f>
        <v/>
      </c>
      <c r="D4" s="49" t="str">
        <f>IFERROR(__xludf.DUMMYFUNCTION("""COMPUTED_VALUE"""),"COST")</f>
        <v>COST</v>
      </c>
      <c r="E4" s="50" t="str">
        <f>IFERROR(__xludf.DUMMYFUNCTION("""COMPUTED_VALUE"""),"")</f>
        <v/>
      </c>
      <c r="F4" s="51" t="str">
        <f>IFERROR(__xludf.DUMMYFUNCTION("""COMPUTED_VALUE"""),"")</f>
        <v/>
      </c>
      <c r="G4" s="52">
        <f>IFERROR(__xludf.DUMMYFUNCTION("""COMPUTED_VALUE"""),-369.69)</f>
        <v>-369.69</v>
      </c>
      <c r="H4" s="53" t="str">
        <f t="shared" si="1"/>
        <v>@COST@@-369.69</v>
      </c>
    </row>
    <row r="5">
      <c r="A5" s="47">
        <f>IFERROR(__xludf.DUMMYFUNCTION("""COMPUTED_VALUE"""),43773.0)</f>
        <v>43773</v>
      </c>
      <c r="B5" t="str">
        <f>IFERROR(__xludf.DUMMYFUNCTION("""COMPUTED_VALUE"""),"Stocks")</f>
        <v>Stocks</v>
      </c>
      <c r="C5" s="48" t="str">
        <f>IFERROR(__xludf.DUMMYFUNCTION("""COMPUTED_VALUE"""),"Vanguard S&amp;P 500 UCITS")</f>
        <v>Vanguard S&amp;P 500 UCITS</v>
      </c>
      <c r="D5" s="49" t="str">
        <f>IFERROR(__xludf.DUMMYFUNCTION("""COMPUTED_VALUE"""),"SELL")</f>
        <v>SELL</v>
      </c>
      <c r="E5" s="50">
        <f>IFERROR(__xludf.DUMMYFUNCTION("""COMPUTED_VALUE"""),-10.0)</f>
        <v>-10</v>
      </c>
      <c r="F5" s="51">
        <f>IFERROR(__xludf.DUMMYFUNCTION("""COMPUTED_VALUE"""),52.423)</f>
        <v>52.423</v>
      </c>
      <c r="G5" s="52">
        <f>IFERROR(__xludf.DUMMYFUNCTION("""COMPUTED_VALUE"""),524.23)</f>
        <v>524.23</v>
      </c>
      <c r="H5" s="53" t="str">
        <f t="shared" si="1"/>
        <v>Vanguard S&amp;P 500 UCITS@SELL@-10@524.23</v>
      </c>
    </row>
    <row r="6">
      <c r="A6" s="47">
        <f>IFERROR(__xludf.DUMMYFUNCTION("""COMPUTED_VALUE"""),43773.0)</f>
        <v>43773</v>
      </c>
      <c r="B6" t="str">
        <f>IFERROR(__xludf.DUMMYFUNCTION("""COMPUTED_VALUE"""),"Commodities")</f>
        <v>Commodities</v>
      </c>
      <c r="C6" s="48" t="str">
        <f>IFERROR(__xludf.DUMMYFUNCTION("""COMPUTED_VALUE"""),"ETFS All Commodities ETC")</f>
        <v>ETFS All Commodities ETC</v>
      </c>
      <c r="D6" s="49" t="str">
        <f>IFERROR(__xludf.DUMMYFUNCTION("""COMPUTED_VALUE"""),"SELL")</f>
        <v>SELL</v>
      </c>
      <c r="E6" s="50">
        <f>IFERROR(__xludf.DUMMYFUNCTION("""COMPUTED_VALUE"""),-562.0)</f>
        <v>-562</v>
      </c>
      <c r="F6" s="51">
        <f>IFERROR(__xludf.DUMMYFUNCTION("""COMPUTED_VALUE"""),7.414999999999999)</f>
        <v>7.415</v>
      </c>
      <c r="G6" s="52">
        <f>IFERROR(__xludf.DUMMYFUNCTION("""COMPUTED_VALUE"""),4167.23)</f>
        <v>4167.23</v>
      </c>
      <c r="H6" s="53" t="str">
        <f t="shared" si="1"/>
        <v>ETFS All Commodities ETC@SELL@-562@4167.23</v>
      </c>
    </row>
    <row r="7">
      <c r="A7" s="47">
        <f>IFERROR(__xludf.DUMMYFUNCTION("""COMPUTED_VALUE"""),43773.0)</f>
        <v>43773</v>
      </c>
      <c r="B7" t="str">
        <f>IFERROR(__xludf.DUMMYFUNCTION("""COMPUTED_VALUE"""),"Stocks")</f>
        <v>Stocks</v>
      </c>
      <c r="C7" s="48" t="str">
        <f>IFERROR(__xludf.DUMMYFUNCTION("""COMPUTED_VALUE"""),"Vanguard S&amp;P 500 UCITS")</f>
        <v>Vanguard S&amp;P 500 UCITS</v>
      </c>
      <c r="D7" s="49" t="str">
        <f>IFERROR(__xludf.DUMMYFUNCTION("""COMPUTED_VALUE"""),"SELL")</f>
        <v>SELL</v>
      </c>
      <c r="E7" s="50">
        <f>IFERROR(__xludf.DUMMYFUNCTION("""COMPUTED_VALUE"""),-14.0)</f>
        <v>-14</v>
      </c>
      <c r="F7" s="51">
        <f>IFERROR(__xludf.DUMMYFUNCTION("""COMPUTED_VALUE"""),52.365)</f>
        <v>52.365</v>
      </c>
      <c r="G7" s="52">
        <f>IFERROR(__xludf.DUMMYFUNCTION("""COMPUTED_VALUE"""),733.11)</f>
        <v>733.11</v>
      </c>
      <c r="H7" s="53" t="str">
        <f t="shared" si="1"/>
        <v>Vanguard S&amp;P 500 UCITS@SELL@-14@733.11</v>
      </c>
    </row>
    <row r="8">
      <c r="A8" s="47">
        <f>IFERROR(__xludf.DUMMYFUNCTION("""COMPUTED_VALUE"""),43773.0)</f>
        <v>43773</v>
      </c>
      <c r="B8" t="str">
        <f>IFERROR(__xludf.DUMMYFUNCTION("""COMPUTED_VALUE"""),"Stocks")</f>
        <v>Stocks</v>
      </c>
      <c r="C8" s="48" t="str">
        <f>IFERROR(__xludf.DUMMYFUNCTION("""COMPUTED_VALUE"""),"Vanguard S&amp;P 500 UCITS")</f>
        <v>Vanguard S&amp;P 500 UCITS</v>
      </c>
      <c r="D8" s="49" t="str">
        <f>IFERROR(__xludf.DUMMYFUNCTION("""COMPUTED_VALUE"""),"SELL")</f>
        <v>SELL</v>
      </c>
      <c r="E8" s="50">
        <f>IFERROR(__xludf.DUMMYFUNCTION("""COMPUTED_VALUE"""),-7.0)</f>
        <v>-7</v>
      </c>
      <c r="F8" s="51">
        <f>IFERROR(__xludf.DUMMYFUNCTION("""COMPUTED_VALUE"""),52.36571428571428)</f>
        <v>52.36571429</v>
      </c>
      <c r="G8" s="52">
        <f>IFERROR(__xludf.DUMMYFUNCTION("""COMPUTED_VALUE"""),366.56)</f>
        <v>366.56</v>
      </c>
      <c r="H8" s="53" t="str">
        <f t="shared" si="1"/>
        <v>Vanguard S&amp;P 500 UCITS@SELL@-7@366.56</v>
      </c>
    </row>
    <row r="9">
      <c r="A9" s="47">
        <f>IFERROR(__xludf.DUMMYFUNCTION("""COMPUTED_VALUE"""),43773.0)</f>
        <v>43773</v>
      </c>
      <c r="B9" t="str">
        <f>IFERROR(__xludf.DUMMYFUNCTION("""COMPUTED_VALUE"""),"Stocks")</f>
        <v>Stocks</v>
      </c>
      <c r="C9" s="48" t="str">
        <f>IFERROR(__xludf.DUMMYFUNCTION("""COMPUTED_VALUE"""),"Vanguard S&amp;P 500 UCITS")</f>
        <v>Vanguard S&amp;P 500 UCITS</v>
      </c>
      <c r="D9" s="49" t="str">
        <f>IFERROR(__xludf.DUMMYFUNCTION("""COMPUTED_VALUE"""),"SELL")</f>
        <v>SELL</v>
      </c>
      <c r="E9" s="50">
        <f>IFERROR(__xludf.DUMMYFUNCTION("""COMPUTED_VALUE"""),-24.0)</f>
        <v>-24</v>
      </c>
      <c r="F9" s="51">
        <f>IFERROR(__xludf.DUMMYFUNCTION("""COMPUTED_VALUE"""),52.28)</f>
        <v>52.28</v>
      </c>
      <c r="G9" s="52">
        <f>IFERROR(__xludf.DUMMYFUNCTION("""COMPUTED_VALUE"""),1254.72)</f>
        <v>1254.72</v>
      </c>
      <c r="H9" s="53" t="str">
        <f t="shared" si="1"/>
        <v>Vanguard S&amp;P 500 UCITS@SELL@-24@1254.72</v>
      </c>
    </row>
    <row r="10">
      <c r="A10" s="47">
        <f>IFERROR(__xludf.DUMMYFUNCTION("""COMPUTED_VALUE"""),43770.0)</f>
        <v>43770</v>
      </c>
      <c r="B10" t="str">
        <f>IFERROR(__xludf.DUMMYFUNCTION("""COMPUTED_VALUE"""),"")</f>
        <v/>
      </c>
      <c r="C10" s="48" t="str">
        <f>IFERROR(__xludf.DUMMYFUNCTION("""COMPUTED_VALUE"""),"")</f>
        <v/>
      </c>
      <c r="D10" s="49" t="str">
        <f>IFERROR(__xludf.DUMMYFUNCTION("""COMPUTED_VALUE"""),"APPROVISIONNEMENT")</f>
        <v>APPROVISIONNEMENT</v>
      </c>
      <c r="E10" s="50" t="str">
        <f>IFERROR(__xludf.DUMMYFUNCTION("""COMPUTED_VALUE"""),"")</f>
        <v/>
      </c>
      <c r="F10" s="51" t="str">
        <f>IFERROR(__xludf.DUMMYFUNCTION("""COMPUTED_VALUE"""),"")</f>
        <v/>
      </c>
      <c r="G10" s="52">
        <f>IFERROR(__xludf.DUMMYFUNCTION("""COMPUTED_VALUE"""),-13700.0)</f>
        <v>-13700</v>
      </c>
      <c r="H10" s="53" t="str">
        <f t="shared" si="1"/>
        <v>@APPROVISIONNEMENT@@-13700</v>
      </c>
    </row>
    <row r="11">
      <c r="A11" s="47">
        <f>IFERROR(__xludf.DUMMYFUNCTION("""COMPUTED_VALUE"""),43766.0)</f>
        <v>43766</v>
      </c>
      <c r="B11" t="str">
        <f>IFERROR(__xludf.DUMMYFUNCTION("""COMPUTED_VALUE"""),"Stocks")</f>
        <v>Stocks</v>
      </c>
      <c r="C11" s="48" t="str">
        <f>IFERROR(__xludf.DUMMYFUNCTION("""COMPUTED_VALUE"""),"Vanguard S&amp;P 500 UCITS")</f>
        <v>Vanguard S&amp;P 500 UCITS</v>
      </c>
      <c r="D11" s="49" t="str">
        <f>IFERROR(__xludf.DUMMYFUNCTION("""COMPUTED_VALUE"""),"SELL")</f>
        <v>SELL</v>
      </c>
      <c r="E11" s="50">
        <f>IFERROR(__xludf.DUMMYFUNCTION("""COMPUTED_VALUE"""),-22.0)</f>
        <v>-22</v>
      </c>
      <c r="F11" s="51">
        <f>IFERROR(__xludf.DUMMYFUNCTION("""COMPUTED_VALUE"""),51.85)</f>
        <v>51.85</v>
      </c>
      <c r="G11" s="52">
        <f>IFERROR(__xludf.DUMMYFUNCTION("""COMPUTED_VALUE"""),1140.7)</f>
        <v>1140.7</v>
      </c>
      <c r="H11" s="53" t="str">
        <f t="shared" si="1"/>
        <v>Vanguard S&amp;P 500 UCITS@SELL@-22@1140.7</v>
      </c>
    </row>
    <row r="12">
      <c r="A12" s="47">
        <f>IFERROR(__xludf.DUMMYFUNCTION("""COMPUTED_VALUE"""),43766.0)</f>
        <v>43766</v>
      </c>
      <c r="B12" t="str">
        <f>IFERROR(__xludf.DUMMYFUNCTION("""COMPUTED_VALUE"""),"Stocks")</f>
        <v>Stocks</v>
      </c>
      <c r="C12" s="48" t="str">
        <f>IFERROR(__xludf.DUMMYFUNCTION("""COMPUTED_VALUE"""),"Vanguard S&amp;P 500 UCITS")</f>
        <v>Vanguard S&amp;P 500 UCITS</v>
      </c>
      <c r="D12" s="49" t="str">
        <f>IFERROR(__xludf.DUMMYFUNCTION("""COMPUTED_VALUE"""),"SELL")</f>
        <v>SELL</v>
      </c>
      <c r="E12" s="50">
        <f>IFERROR(__xludf.DUMMYFUNCTION("""COMPUTED_VALUE"""),-20.0)</f>
        <v>-20</v>
      </c>
      <c r="F12" s="51">
        <f>IFERROR(__xludf.DUMMYFUNCTION("""COMPUTED_VALUE"""),51.85)</f>
        <v>51.85</v>
      </c>
      <c r="G12" s="52">
        <f>IFERROR(__xludf.DUMMYFUNCTION("""COMPUTED_VALUE"""),1037.0)</f>
        <v>1037</v>
      </c>
      <c r="H12" s="53" t="str">
        <f t="shared" si="1"/>
        <v>Vanguard S&amp;P 500 UCITS@SELL@-20@1037</v>
      </c>
    </row>
    <row r="13">
      <c r="A13" s="47">
        <f>IFERROR(__xludf.DUMMYFUNCTION("""COMPUTED_VALUE"""),43766.0)</f>
        <v>43766</v>
      </c>
      <c r="B13" t="str">
        <f>IFERROR(__xludf.DUMMYFUNCTION("""COMPUTED_VALUE"""),"Stocks")</f>
        <v>Stocks</v>
      </c>
      <c r="C13" s="48" t="str">
        <f>IFERROR(__xludf.DUMMYFUNCTION("""COMPUTED_VALUE"""),"Vanguard S&amp;P 500 UCITS")</f>
        <v>Vanguard S&amp;P 500 UCITS</v>
      </c>
      <c r="D13" s="49" t="str">
        <f>IFERROR(__xludf.DUMMYFUNCTION("""COMPUTED_VALUE"""),"SELL")</f>
        <v>SELL</v>
      </c>
      <c r="E13" s="50">
        <f>IFERROR(__xludf.DUMMYFUNCTION("""COMPUTED_VALUE"""),-5.0)</f>
        <v>-5</v>
      </c>
      <c r="F13" s="51">
        <f>IFERROR(__xludf.DUMMYFUNCTION("""COMPUTED_VALUE"""),51.85)</f>
        <v>51.85</v>
      </c>
      <c r="G13" s="52">
        <f>IFERROR(__xludf.DUMMYFUNCTION("""COMPUTED_VALUE"""),259.25)</f>
        <v>259.25</v>
      </c>
      <c r="H13" s="53" t="str">
        <f t="shared" si="1"/>
        <v>Vanguard S&amp;P 500 UCITS@SELL@-5@259.25</v>
      </c>
    </row>
    <row r="14">
      <c r="A14" s="47">
        <f>IFERROR(__xludf.DUMMYFUNCTION("""COMPUTED_VALUE"""),43753.0)</f>
        <v>43753</v>
      </c>
      <c r="B14" t="str">
        <f>IFERROR(__xludf.DUMMYFUNCTION("""COMPUTED_VALUE"""),"")</f>
        <v/>
      </c>
      <c r="C14" s="48" t="str">
        <f>IFERROR(__xludf.DUMMYFUNCTION("""COMPUTED_VALUE"""),"")</f>
        <v/>
      </c>
      <c r="D14" s="49" t="str">
        <f>IFERROR(__xludf.DUMMYFUNCTION("""COMPUTED_VALUE"""),"APPROVISIONNEMENT")</f>
        <v>APPROVISIONNEMENT</v>
      </c>
      <c r="E14" s="50" t="str">
        <f>IFERROR(__xludf.DUMMYFUNCTION("""COMPUTED_VALUE"""),"")</f>
        <v/>
      </c>
      <c r="F14" s="51" t="str">
        <f>IFERROR(__xludf.DUMMYFUNCTION("""COMPUTED_VALUE"""),"")</f>
        <v/>
      </c>
      <c r="G14" s="52">
        <f>IFERROR(__xludf.DUMMYFUNCTION("""COMPUTED_VALUE"""),-200.0)</f>
        <v>-200</v>
      </c>
      <c r="H14" s="53" t="str">
        <f t="shared" si="1"/>
        <v>@APPROVISIONNEMENT@@-200</v>
      </c>
    </row>
    <row r="15">
      <c r="A15" s="47">
        <f>IFERROR(__xludf.DUMMYFUNCTION("""COMPUTED_VALUE"""),43747.0)</f>
        <v>43747</v>
      </c>
      <c r="B15" t="str">
        <f>IFERROR(__xludf.DUMMYFUNCTION("""COMPUTED_VALUE"""),"Stocks")</f>
        <v>Stocks</v>
      </c>
      <c r="C15" s="48" t="str">
        <f>IFERROR(__xludf.DUMMYFUNCTION("""COMPUTED_VALUE"""),"Vanguard S&amp;P 500 UCITS")</f>
        <v>Vanguard S&amp;P 500 UCITS</v>
      </c>
      <c r="D15" s="49" t="str">
        <f>IFERROR(__xludf.DUMMYFUNCTION("""COMPUTED_VALUE"""),"DIVIDEND")</f>
        <v>DIVIDEND</v>
      </c>
      <c r="E15" s="50" t="str">
        <f>IFERROR(__xludf.DUMMYFUNCTION("""COMPUTED_VALUE"""),"")</f>
        <v/>
      </c>
      <c r="F15" s="51" t="str">
        <f>IFERROR(__xludf.DUMMYFUNCTION("""COMPUTED_VALUE"""),"")</f>
        <v/>
      </c>
      <c r="G15" s="52">
        <f>IFERROR(__xludf.DUMMYFUNCTION("""COMPUTED_VALUE"""),-80.77999999999997)</f>
        <v>-80.78</v>
      </c>
      <c r="H15" s="53" t="str">
        <f t="shared" si="1"/>
        <v>Vanguard S&amp;P 500 UCITS@DIVIDEND@@-80.78</v>
      </c>
    </row>
    <row r="16">
      <c r="A16" s="47">
        <f>IFERROR(__xludf.DUMMYFUNCTION("""COMPUTED_VALUE"""),43747.0)</f>
        <v>43747</v>
      </c>
      <c r="B16" t="str">
        <f>IFERROR(__xludf.DUMMYFUNCTION("""COMPUTED_VALUE"""),"Stocks")</f>
        <v>Stocks</v>
      </c>
      <c r="C16" s="48" t="str">
        <f>IFERROR(__xludf.DUMMYFUNCTION("""COMPUTED_VALUE"""),"Vanguard S&amp;P 500 UCITS")</f>
        <v>Vanguard S&amp;P 500 UCITS</v>
      </c>
      <c r="D16" s="49" t="str">
        <f>IFERROR(__xludf.DUMMYFUNCTION("""COMPUTED_VALUE"""),"DIVIDEND")</f>
        <v>DIVIDEND</v>
      </c>
      <c r="E16" s="50" t="str">
        <f>IFERROR(__xludf.DUMMYFUNCTION("""COMPUTED_VALUE"""),"")</f>
        <v/>
      </c>
      <c r="F16" s="51" t="str">
        <f>IFERROR(__xludf.DUMMYFUNCTION("""COMPUTED_VALUE"""),"")</f>
        <v/>
      </c>
      <c r="G16" s="52">
        <f>IFERROR(__xludf.DUMMYFUNCTION("""COMPUTED_VALUE"""),902.42)</f>
        <v>902.42</v>
      </c>
      <c r="H16" s="53" t="str">
        <f t="shared" si="1"/>
        <v>Vanguard S&amp;P 500 UCITS@DIVIDEND@@902.42</v>
      </c>
    </row>
    <row r="17">
      <c r="A17" s="47" t="str">
        <f>IFERROR(__xludf.DUMMYFUNCTION("""COMPUTED_VALUE"""),"")</f>
        <v/>
      </c>
      <c r="B17" t="str">
        <f>IFERROR(__xludf.DUMMYFUNCTION("""COMPUTED_VALUE"""),"")</f>
        <v/>
      </c>
      <c r="C17" s="48" t="str">
        <f>IFERROR(__xludf.DUMMYFUNCTION("""COMPUTED_VALUE"""),"")</f>
        <v/>
      </c>
      <c r="D17" s="49" t="str">
        <f>IFERROR(__xludf.DUMMYFUNCTION("""COMPUTED_VALUE"""),"")</f>
        <v/>
      </c>
      <c r="E17" s="50" t="str">
        <f>IFERROR(__xludf.DUMMYFUNCTION("""COMPUTED_VALUE"""),"")</f>
        <v/>
      </c>
      <c r="F17" s="51" t="str">
        <f>IFERROR(__xludf.DUMMYFUNCTION("""COMPUTED_VALUE"""),"")</f>
        <v/>
      </c>
      <c r="G17" s="52" t="str">
        <f>IFERROR(__xludf.DUMMYFUNCTION("""COMPUTED_VALUE"""),"")</f>
        <v/>
      </c>
      <c r="H17" s="53" t="str">
        <f t="shared" si="1"/>
        <v/>
      </c>
    </row>
    <row r="18">
      <c r="A18" s="47"/>
      <c r="C18" s="48"/>
      <c r="D18" s="49"/>
      <c r="E18" s="50"/>
      <c r="F18" s="51"/>
      <c r="G18" s="52"/>
      <c r="H18" s="53" t="str">
        <f t="shared" si="1"/>
        <v/>
      </c>
    </row>
    <row r="19">
      <c r="A19" s="47"/>
      <c r="C19" s="48"/>
      <c r="D19" s="49"/>
      <c r="E19" s="50"/>
      <c r="F19" s="51"/>
      <c r="G19" s="52"/>
      <c r="H19" s="53" t="str">
        <f t="shared" si="1"/>
        <v/>
      </c>
    </row>
    <row r="20">
      <c r="A20" s="47"/>
      <c r="C20" s="48"/>
      <c r="D20" s="49"/>
      <c r="E20" s="50"/>
      <c r="F20" s="51"/>
      <c r="G20" s="52"/>
      <c r="H20" s="53" t="str">
        <f t="shared" si="1"/>
        <v/>
      </c>
    </row>
    <row r="21">
      <c r="A21" s="47"/>
      <c r="C21" s="48"/>
      <c r="D21" s="49"/>
      <c r="E21" s="50"/>
      <c r="F21" s="51"/>
      <c r="G21" s="52"/>
      <c r="H21" s="53" t="str">
        <f t="shared" si="1"/>
        <v/>
      </c>
    </row>
    <row r="22">
      <c r="A22" s="47"/>
      <c r="C22" s="48"/>
      <c r="D22" s="49"/>
      <c r="E22" s="50"/>
      <c r="F22" s="51"/>
      <c r="G22" s="52"/>
      <c r="H22" s="53" t="str">
        <f t="shared" si="1"/>
        <v/>
      </c>
    </row>
    <row r="23">
      <c r="A23" s="47"/>
      <c r="C23" s="48"/>
      <c r="D23" s="49"/>
      <c r="E23" s="50"/>
      <c r="F23" s="51"/>
      <c r="G23" s="52"/>
      <c r="H23" s="53" t="str">
        <f t="shared" si="1"/>
        <v/>
      </c>
    </row>
    <row r="24">
      <c r="A24" s="47"/>
      <c r="C24" s="48"/>
      <c r="D24" s="49"/>
      <c r="E24" s="50"/>
      <c r="F24" s="51"/>
      <c r="G24" s="52"/>
      <c r="H24" s="53" t="str">
        <f t="shared" si="1"/>
        <v/>
      </c>
    </row>
    <row r="25">
      <c r="A25" s="47"/>
      <c r="C25" s="48"/>
      <c r="D25" s="49"/>
      <c r="E25" s="50"/>
      <c r="F25" s="51"/>
      <c r="G25" s="52"/>
      <c r="H25" s="53" t="str">
        <f t="shared" si="1"/>
        <v/>
      </c>
    </row>
    <row r="26">
      <c r="A26" s="47"/>
      <c r="C26" s="48"/>
      <c r="D26" s="49"/>
      <c r="E26" s="50"/>
      <c r="F26" s="51"/>
      <c r="G26" s="52"/>
      <c r="H26" s="53" t="str">
        <f t="shared" si="1"/>
        <v/>
      </c>
    </row>
    <row r="27">
      <c r="A27" s="47"/>
      <c r="C27" s="48"/>
      <c r="D27" s="49"/>
      <c r="E27" s="50"/>
      <c r="F27" s="51"/>
      <c r="G27" s="52"/>
      <c r="H27" s="53" t="str">
        <f t="shared" si="1"/>
        <v/>
      </c>
    </row>
    <row r="28">
      <c r="A28" s="47"/>
      <c r="C28" s="48"/>
      <c r="D28" s="49"/>
      <c r="E28" s="50"/>
      <c r="F28" s="51"/>
      <c r="G28" s="52"/>
      <c r="H28" s="53" t="str">
        <f t="shared" si="1"/>
        <v/>
      </c>
    </row>
    <row r="29">
      <c r="A29" s="47"/>
      <c r="C29" s="48"/>
      <c r="D29" s="49"/>
      <c r="E29" s="50"/>
      <c r="F29" s="51"/>
      <c r="G29" s="52"/>
      <c r="H29" s="53" t="str">
        <f t="shared" si="1"/>
        <v/>
      </c>
    </row>
    <row r="30">
      <c r="A30" s="47"/>
      <c r="C30" s="48"/>
      <c r="D30" s="49"/>
      <c r="E30" s="50"/>
      <c r="F30" s="51"/>
      <c r="G30" s="52"/>
      <c r="H30" s="53" t="str">
        <f t="shared" si="1"/>
        <v/>
      </c>
    </row>
    <row r="31">
      <c r="A31" s="47"/>
      <c r="C31" s="48"/>
      <c r="D31" s="49"/>
      <c r="E31" s="50"/>
      <c r="F31" s="51"/>
      <c r="G31" s="52"/>
      <c r="H31" s="53" t="str">
        <f t="shared" si="1"/>
        <v/>
      </c>
    </row>
    <row r="32">
      <c r="A32" s="47"/>
      <c r="C32" s="48"/>
      <c r="D32" s="49"/>
      <c r="E32" s="50"/>
      <c r="F32" s="51"/>
      <c r="G32" s="52"/>
      <c r="H32" s="53" t="str">
        <f t="shared" si="1"/>
        <v/>
      </c>
    </row>
    <row r="33">
      <c r="A33" s="47"/>
      <c r="C33" s="48"/>
      <c r="D33" s="49"/>
      <c r="E33" s="50"/>
      <c r="F33" s="51"/>
      <c r="G33" s="52"/>
      <c r="H33" s="53" t="str">
        <f t="shared" si="1"/>
        <v/>
      </c>
    </row>
    <row r="34">
      <c r="A34" s="47"/>
      <c r="C34" s="48"/>
      <c r="D34" s="49"/>
      <c r="E34" s="50"/>
      <c r="F34" s="51"/>
      <c r="G34" s="52"/>
      <c r="H34" s="53" t="str">
        <f t="shared" si="1"/>
        <v/>
      </c>
    </row>
    <row r="35">
      <c r="A35" s="47"/>
      <c r="C35" s="48"/>
      <c r="D35" s="49"/>
      <c r="E35" s="50"/>
      <c r="F35" s="51"/>
      <c r="G35" s="52"/>
      <c r="H35" s="53" t="str">
        <f t="shared" si="1"/>
        <v/>
      </c>
    </row>
    <row r="36">
      <c r="A36" s="47"/>
      <c r="C36" s="48"/>
      <c r="D36" s="49"/>
      <c r="E36" s="50"/>
      <c r="F36" s="51"/>
      <c r="G36" s="52"/>
      <c r="H36" s="53" t="str">
        <f t="shared" si="1"/>
        <v/>
      </c>
    </row>
    <row r="37">
      <c r="A37" s="47"/>
      <c r="C37" s="48"/>
      <c r="D37" s="49"/>
      <c r="E37" s="50"/>
      <c r="F37" s="51"/>
      <c r="G37" s="52"/>
      <c r="H37" s="53" t="str">
        <f t="shared" si="1"/>
        <v/>
      </c>
    </row>
    <row r="38">
      <c r="A38" s="47"/>
      <c r="C38" s="48"/>
      <c r="D38" s="49"/>
      <c r="E38" s="50"/>
      <c r="F38" s="51"/>
      <c r="G38" s="52"/>
      <c r="H38" s="53" t="str">
        <f t="shared" si="1"/>
        <v/>
      </c>
    </row>
    <row r="39">
      <c r="A39" s="47"/>
      <c r="C39" s="48"/>
      <c r="D39" s="49"/>
      <c r="E39" s="50"/>
      <c r="F39" s="51"/>
      <c r="G39" s="52"/>
      <c r="H39" s="53" t="str">
        <f t="shared" si="1"/>
        <v/>
      </c>
    </row>
    <row r="40">
      <c r="A40" s="47"/>
      <c r="C40" s="48"/>
      <c r="D40" s="49"/>
      <c r="E40" s="50"/>
      <c r="F40" s="51"/>
      <c r="G40" s="52"/>
      <c r="H40" s="53" t="str">
        <f t="shared" si="1"/>
        <v/>
      </c>
    </row>
    <row r="41">
      <c r="A41" s="47"/>
      <c r="C41" s="48"/>
      <c r="D41" s="49"/>
      <c r="E41" s="50"/>
      <c r="F41" s="51"/>
      <c r="G41" s="52"/>
      <c r="H41" s="53" t="str">
        <f t="shared" si="1"/>
        <v/>
      </c>
    </row>
    <row r="42">
      <c r="A42" s="47"/>
      <c r="C42" s="48"/>
      <c r="D42" s="49"/>
      <c r="E42" s="50"/>
      <c r="F42" s="51"/>
      <c r="G42" s="52"/>
      <c r="H42" s="53" t="str">
        <f t="shared" si="1"/>
        <v/>
      </c>
    </row>
    <row r="43">
      <c r="A43" s="47"/>
      <c r="C43" s="48"/>
      <c r="D43" s="49"/>
      <c r="E43" s="50"/>
      <c r="F43" s="51"/>
      <c r="G43" s="52"/>
      <c r="H43" s="53" t="str">
        <f t="shared" si="1"/>
        <v/>
      </c>
    </row>
    <row r="44">
      <c r="A44" s="47"/>
      <c r="C44" s="48"/>
      <c r="D44" s="49"/>
      <c r="E44" s="50"/>
      <c r="F44" s="51"/>
      <c r="G44" s="52"/>
      <c r="H44" s="53" t="str">
        <f t="shared" si="1"/>
        <v/>
      </c>
    </row>
    <row r="45">
      <c r="A45" s="47"/>
      <c r="C45" s="48"/>
      <c r="D45" s="49"/>
      <c r="E45" s="50"/>
      <c r="F45" s="51"/>
      <c r="G45" s="52"/>
      <c r="H45" s="53" t="str">
        <f t="shared" si="1"/>
        <v/>
      </c>
    </row>
    <row r="46">
      <c r="A46" s="47"/>
      <c r="C46" s="48"/>
      <c r="D46" s="49"/>
      <c r="E46" s="50"/>
      <c r="F46" s="51"/>
      <c r="G46" s="52"/>
      <c r="H46" s="53" t="str">
        <f t="shared" si="1"/>
        <v/>
      </c>
    </row>
    <row r="47">
      <c r="A47" s="47"/>
      <c r="C47" s="48"/>
      <c r="D47" s="49"/>
      <c r="E47" s="50"/>
      <c r="F47" s="51"/>
      <c r="G47" s="52"/>
      <c r="H47" s="53" t="str">
        <f t="shared" si="1"/>
        <v/>
      </c>
    </row>
    <row r="48">
      <c r="A48" s="47"/>
      <c r="C48" s="48"/>
      <c r="D48" s="49"/>
      <c r="E48" s="50"/>
      <c r="F48" s="51"/>
      <c r="G48" s="52"/>
      <c r="H48" s="53" t="str">
        <f t="shared" si="1"/>
        <v/>
      </c>
    </row>
    <row r="49">
      <c r="A49" s="47"/>
      <c r="C49" s="48"/>
      <c r="D49" s="49"/>
      <c r="E49" s="50"/>
      <c r="F49" s="51"/>
      <c r="G49" s="52"/>
      <c r="H49" s="53" t="str">
        <f t="shared" si="1"/>
        <v/>
      </c>
    </row>
    <row r="50">
      <c r="A50" s="47"/>
      <c r="C50" s="48"/>
      <c r="D50" s="49"/>
      <c r="E50" s="50"/>
      <c r="F50" s="51"/>
      <c r="G50" s="52"/>
      <c r="H50" s="53" t="str">
        <f t="shared" si="1"/>
        <v/>
      </c>
    </row>
    <row r="51">
      <c r="A51" s="47"/>
      <c r="C51" s="48"/>
      <c r="D51" s="49"/>
      <c r="E51" s="50"/>
      <c r="F51" s="51"/>
      <c r="G51" s="52"/>
      <c r="H51" s="53" t="str">
        <f t="shared" si="1"/>
        <v/>
      </c>
    </row>
    <row r="52">
      <c r="A52" s="47"/>
      <c r="C52" s="48"/>
      <c r="D52" s="49"/>
      <c r="E52" s="50"/>
      <c r="F52" s="51"/>
      <c r="G52" s="52"/>
      <c r="H52" s="53" t="str">
        <f t="shared" si="1"/>
        <v/>
      </c>
    </row>
    <row r="53">
      <c r="A53" s="47"/>
      <c r="C53" s="48"/>
      <c r="D53" s="49"/>
      <c r="E53" s="50"/>
      <c r="F53" s="51"/>
      <c r="G53" s="52"/>
      <c r="H53" s="53" t="str">
        <f t="shared" si="1"/>
        <v/>
      </c>
    </row>
    <row r="54">
      <c r="A54" s="47"/>
      <c r="C54" s="48"/>
      <c r="D54" s="49"/>
      <c r="E54" s="50"/>
      <c r="F54" s="51"/>
      <c r="G54" s="52"/>
      <c r="H54" s="53" t="str">
        <f t="shared" si="1"/>
        <v/>
      </c>
    </row>
    <row r="55">
      <c r="A55" s="47"/>
      <c r="C55" s="48"/>
      <c r="D55" s="49"/>
      <c r="E55" s="50"/>
      <c r="F55" s="51"/>
      <c r="G55" s="52"/>
      <c r="H55" s="53" t="str">
        <f t="shared" si="1"/>
        <v/>
      </c>
    </row>
    <row r="56">
      <c r="A56" s="47"/>
      <c r="C56" s="48"/>
      <c r="D56" s="49"/>
      <c r="E56" s="50"/>
      <c r="F56" s="51"/>
      <c r="G56" s="52"/>
      <c r="H56" s="53" t="str">
        <f t="shared" si="1"/>
        <v/>
      </c>
    </row>
    <row r="57">
      <c r="A57" s="47"/>
      <c r="C57" s="48"/>
      <c r="D57" s="49"/>
      <c r="E57" s="50"/>
      <c r="F57" s="51"/>
      <c r="G57" s="52"/>
      <c r="H57" s="53" t="str">
        <f t="shared" si="1"/>
        <v/>
      </c>
    </row>
    <row r="58">
      <c r="A58" s="47"/>
      <c r="C58" s="48"/>
      <c r="D58" s="49"/>
      <c r="E58" s="50"/>
      <c r="F58" s="51"/>
      <c r="G58" s="52"/>
      <c r="H58" s="53" t="str">
        <f t="shared" si="1"/>
        <v/>
      </c>
    </row>
    <row r="59">
      <c r="A59" s="47"/>
      <c r="C59" s="48"/>
      <c r="D59" s="49"/>
      <c r="E59" s="50"/>
      <c r="F59" s="51"/>
      <c r="G59" s="52"/>
      <c r="H59" s="53" t="str">
        <f t="shared" si="1"/>
        <v/>
      </c>
    </row>
    <row r="60">
      <c r="A60" s="47"/>
      <c r="C60" s="48"/>
      <c r="D60" s="49"/>
      <c r="E60" s="50"/>
      <c r="F60" s="51"/>
      <c r="G60" s="52"/>
      <c r="H60" s="53" t="str">
        <f t="shared" si="1"/>
        <v/>
      </c>
    </row>
    <row r="61">
      <c r="A61" s="47"/>
      <c r="C61" s="48"/>
      <c r="D61" s="49"/>
      <c r="E61" s="50"/>
      <c r="F61" s="51"/>
      <c r="G61" s="52"/>
      <c r="H61" s="53" t="str">
        <f t="shared" si="1"/>
        <v/>
      </c>
    </row>
    <row r="62">
      <c r="A62" s="47"/>
      <c r="C62" s="48"/>
      <c r="D62" s="49"/>
      <c r="E62" s="50"/>
      <c r="F62" s="51"/>
      <c r="G62" s="52"/>
      <c r="H62" s="53" t="str">
        <f t="shared" si="1"/>
        <v/>
      </c>
    </row>
    <row r="63">
      <c r="A63" s="47"/>
      <c r="C63" s="48"/>
      <c r="D63" s="49"/>
      <c r="E63" s="50"/>
      <c r="F63" s="51"/>
      <c r="G63" s="52"/>
      <c r="H63" s="53" t="str">
        <f t="shared" si="1"/>
        <v/>
      </c>
    </row>
    <row r="64">
      <c r="A64" s="47"/>
      <c r="C64" s="48"/>
      <c r="D64" s="49"/>
      <c r="E64" s="50"/>
      <c r="F64" s="51"/>
      <c r="G64" s="52"/>
      <c r="H64" s="53" t="str">
        <f t="shared" si="1"/>
        <v/>
      </c>
    </row>
    <row r="65">
      <c r="A65" s="47"/>
      <c r="C65" s="48"/>
      <c r="D65" s="49"/>
      <c r="E65" s="50"/>
      <c r="F65" s="51"/>
      <c r="G65" s="52"/>
      <c r="H65" s="53" t="str">
        <f t="shared" si="1"/>
        <v/>
      </c>
    </row>
    <row r="66">
      <c r="A66" s="47"/>
      <c r="C66" s="48"/>
      <c r="D66" s="49"/>
      <c r="E66" s="50"/>
      <c r="F66" s="51"/>
      <c r="G66" s="52"/>
      <c r="H66" s="53" t="str">
        <f t="shared" si="1"/>
        <v/>
      </c>
    </row>
    <row r="67">
      <c r="A67" s="47"/>
      <c r="C67" s="48"/>
      <c r="D67" s="49"/>
      <c r="E67" s="50"/>
      <c r="F67" s="51"/>
      <c r="G67" s="52"/>
      <c r="H67" s="53" t="str">
        <f t="shared" si="1"/>
        <v/>
      </c>
    </row>
    <row r="68">
      <c r="A68" s="47"/>
      <c r="C68" s="48"/>
      <c r="D68" s="49"/>
      <c r="E68" s="50"/>
      <c r="F68" s="51"/>
      <c r="G68" s="52"/>
      <c r="H68" s="53" t="str">
        <f t="shared" si="1"/>
        <v/>
      </c>
    </row>
    <row r="69">
      <c r="A69" s="47"/>
      <c r="C69" s="48"/>
      <c r="D69" s="49"/>
      <c r="E69" s="50"/>
      <c r="F69" s="51"/>
      <c r="G69" s="52"/>
      <c r="H69" s="53" t="str">
        <f t="shared" si="1"/>
        <v/>
      </c>
    </row>
    <row r="70">
      <c r="A70" s="47"/>
      <c r="C70" s="48"/>
      <c r="D70" s="49"/>
      <c r="E70" s="50"/>
      <c r="F70" s="51"/>
      <c r="G70" s="52"/>
      <c r="H70" s="53" t="str">
        <f t="shared" si="1"/>
        <v/>
      </c>
    </row>
    <row r="71">
      <c r="A71" s="47"/>
      <c r="C71" s="48"/>
      <c r="D71" s="49"/>
      <c r="E71" s="50"/>
      <c r="F71" s="51"/>
      <c r="G71" s="52"/>
      <c r="H71" s="53" t="str">
        <f t="shared" si="1"/>
        <v/>
      </c>
    </row>
    <row r="72">
      <c r="A72" s="47"/>
      <c r="C72" s="48"/>
      <c r="D72" s="49"/>
      <c r="E72" s="50"/>
      <c r="F72" s="51"/>
      <c r="G72" s="52"/>
      <c r="H72" s="53" t="str">
        <f t="shared" si="1"/>
        <v/>
      </c>
    </row>
    <row r="73">
      <c r="A73" s="47"/>
      <c r="C73" s="48"/>
      <c r="D73" s="49"/>
      <c r="E73" s="50"/>
      <c r="F73" s="51"/>
      <c r="G73" s="52"/>
      <c r="H73" s="53" t="str">
        <f t="shared" si="1"/>
        <v/>
      </c>
    </row>
    <row r="74">
      <c r="A74" s="47"/>
      <c r="C74" s="48"/>
      <c r="D74" s="49"/>
      <c r="E74" s="50"/>
      <c r="F74" s="51"/>
      <c r="G74" s="52"/>
      <c r="H74" s="53" t="str">
        <f t="shared" si="1"/>
        <v/>
      </c>
    </row>
    <row r="75">
      <c r="A75" s="47"/>
      <c r="C75" s="48"/>
      <c r="D75" s="49"/>
      <c r="E75" s="50"/>
      <c r="F75" s="51"/>
      <c r="G75" s="52"/>
      <c r="H75" s="53" t="str">
        <f t="shared" si="1"/>
        <v/>
      </c>
    </row>
    <row r="76">
      <c r="A76" s="47"/>
      <c r="C76" s="48"/>
      <c r="D76" s="49"/>
      <c r="E76" s="50"/>
      <c r="F76" s="51"/>
      <c r="G76" s="52"/>
      <c r="H76" s="53" t="str">
        <f t="shared" si="1"/>
        <v/>
      </c>
    </row>
    <row r="77">
      <c r="A77" s="47"/>
      <c r="C77" s="48"/>
      <c r="D77" s="49"/>
      <c r="E77" s="50"/>
      <c r="F77" s="51"/>
      <c r="G77" s="52"/>
      <c r="H77" s="53" t="str">
        <f t="shared" si="1"/>
        <v/>
      </c>
    </row>
    <row r="78">
      <c r="A78" s="47"/>
      <c r="C78" s="48"/>
      <c r="D78" s="49"/>
      <c r="E78" s="50"/>
      <c r="F78" s="51"/>
      <c r="G78" s="52"/>
      <c r="H78" s="53" t="str">
        <f t="shared" si="1"/>
        <v/>
      </c>
    </row>
    <row r="79">
      <c r="A79" s="47"/>
      <c r="C79" s="48"/>
      <c r="D79" s="49"/>
      <c r="E79" s="50"/>
      <c r="F79" s="51"/>
      <c r="G79" s="52"/>
      <c r="H79" s="53" t="str">
        <f t="shared" si="1"/>
        <v/>
      </c>
    </row>
    <row r="80">
      <c r="A80" s="47"/>
      <c r="C80" s="48"/>
      <c r="D80" s="49"/>
      <c r="E80" s="50"/>
      <c r="F80" s="51"/>
      <c r="G80" s="52"/>
      <c r="H80" s="53" t="str">
        <f t="shared" si="1"/>
        <v/>
      </c>
    </row>
    <row r="81">
      <c r="A81" s="47"/>
      <c r="C81" s="48"/>
      <c r="D81" s="49"/>
      <c r="E81" s="50"/>
      <c r="F81" s="51"/>
      <c r="G81" s="52"/>
      <c r="H81" s="53" t="str">
        <f t="shared" si="1"/>
        <v/>
      </c>
    </row>
    <row r="82">
      <c r="A82" s="47"/>
      <c r="C82" s="48"/>
      <c r="D82" s="49"/>
      <c r="E82" s="50"/>
      <c r="F82" s="51"/>
      <c r="G82" s="52"/>
      <c r="H82" s="53" t="str">
        <f t="shared" si="1"/>
        <v/>
      </c>
    </row>
    <row r="83">
      <c r="A83" s="47"/>
      <c r="C83" s="48"/>
      <c r="D83" s="49"/>
      <c r="E83" s="50"/>
      <c r="F83" s="51"/>
      <c r="G83" s="52"/>
      <c r="H83" s="53" t="str">
        <f t="shared" si="1"/>
        <v/>
      </c>
    </row>
    <row r="84">
      <c r="A84" s="47"/>
      <c r="C84" s="48"/>
      <c r="D84" s="49"/>
      <c r="E84" s="50"/>
      <c r="F84" s="51"/>
      <c r="G84" s="52"/>
      <c r="H84" s="53" t="str">
        <f t="shared" si="1"/>
        <v/>
      </c>
    </row>
    <row r="85">
      <c r="A85" s="47"/>
      <c r="C85" s="48"/>
      <c r="D85" s="49"/>
      <c r="E85" s="50"/>
      <c r="F85" s="51"/>
      <c r="G85" s="52"/>
      <c r="H85" s="53" t="str">
        <f t="shared" si="1"/>
        <v/>
      </c>
    </row>
    <row r="86">
      <c r="A86" s="47"/>
      <c r="C86" s="48"/>
      <c r="D86" s="49"/>
      <c r="E86" s="50"/>
      <c r="F86" s="51"/>
      <c r="G86" s="52"/>
      <c r="H86" s="53" t="str">
        <f t="shared" si="1"/>
        <v/>
      </c>
    </row>
    <row r="87">
      <c r="A87" s="47"/>
      <c r="C87" s="48"/>
      <c r="D87" s="49"/>
      <c r="E87" s="50"/>
      <c r="F87" s="51"/>
      <c r="G87" s="52"/>
      <c r="H87" s="53" t="str">
        <f t="shared" si="1"/>
        <v/>
      </c>
    </row>
    <row r="88">
      <c r="A88" s="47"/>
      <c r="C88" s="48"/>
      <c r="D88" s="49"/>
      <c r="E88" s="50"/>
      <c r="F88" s="51"/>
      <c r="G88" s="52"/>
      <c r="H88" s="53" t="str">
        <f t="shared" si="1"/>
        <v/>
      </c>
    </row>
    <row r="89">
      <c r="A89" s="47"/>
      <c r="C89" s="48"/>
      <c r="D89" s="49"/>
      <c r="E89" s="50"/>
      <c r="F89" s="51"/>
      <c r="G89" s="52"/>
      <c r="H89" s="53" t="str">
        <f t="shared" si="1"/>
        <v/>
      </c>
    </row>
    <row r="90">
      <c r="A90" s="47"/>
      <c r="C90" s="48"/>
      <c r="D90" s="49"/>
      <c r="E90" s="50"/>
      <c r="F90" s="51"/>
      <c r="G90" s="52"/>
      <c r="H90" s="53" t="str">
        <f t="shared" si="1"/>
        <v/>
      </c>
    </row>
    <row r="91">
      <c r="A91" s="47"/>
      <c r="C91" s="48"/>
      <c r="D91" s="49"/>
      <c r="E91" s="50"/>
      <c r="F91" s="51"/>
      <c r="G91" s="52"/>
      <c r="H91" s="53" t="str">
        <f t="shared" si="1"/>
        <v/>
      </c>
    </row>
    <row r="92">
      <c r="A92" s="47"/>
      <c r="C92" s="48"/>
      <c r="D92" s="49"/>
      <c r="E92" s="50"/>
      <c r="F92" s="51"/>
      <c r="G92" s="52"/>
      <c r="H92" s="53" t="str">
        <f t="shared" si="1"/>
        <v/>
      </c>
    </row>
    <row r="93">
      <c r="A93" s="47"/>
      <c r="C93" s="48"/>
      <c r="D93" s="49"/>
      <c r="E93" s="50"/>
      <c r="F93" s="51"/>
      <c r="G93" s="52"/>
      <c r="H93" s="53" t="str">
        <f t="shared" si="1"/>
        <v/>
      </c>
    </row>
    <row r="94">
      <c r="A94" s="47"/>
      <c r="C94" s="48"/>
      <c r="D94" s="49"/>
      <c r="E94" s="50"/>
      <c r="F94" s="51"/>
      <c r="G94" s="52"/>
      <c r="H94" s="53" t="str">
        <f t="shared" si="1"/>
        <v/>
      </c>
    </row>
    <row r="95">
      <c r="A95" s="47"/>
      <c r="C95" s="48"/>
      <c r="D95" s="49"/>
      <c r="E95" s="50"/>
      <c r="F95" s="51"/>
      <c r="G95" s="52"/>
      <c r="H95" s="53" t="str">
        <f t="shared" si="1"/>
        <v/>
      </c>
    </row>
    <row r="96">
      <c r="A96" s="47"/>
      <c r="C96" s="48"/>
      <c r="D96" s="49"/>
      <c r="E96" s="50"/>
      <c r="F96" s="51"/>
      <c r="G96" s="52"/>
      <c r="H96" s="53" t="str">
        <f t="shared" si="1"/>
        <v/>
      </c>
    </row>
    <row r="97">
      <c r="A97" s="47"/>
      <c r="C97" s="48"/>
      <c r="D97" s="49"/>
      <c r="E97" s="50"/>
      <c r="F97" s="51"/>
      <c r="G97" s="52"/>
      <c r="H97" s="53" t="str">
        <f t="shared" si="1"/>
        <v/>
      </c>
    </row>
    <row r="98">
      <c r="A98" s="47"/>
      <c r="C98" s="48"/>
      <c r="D98" s="49"/>
      <c r="E98" s="50"/>
      <c r="F98" s="51"/>
      <c r="G98" s="52"/>
      <c r="H98" s="53" t="str">
        <f t="shared" si="1"/>
        <v/>
      </c>
    </row>
    <row r="99">
      <c r="A99" s="47"/>
      <c r="C99" s="48"/>
      <c r="D99" s="49"/>
      <c r="E99" s="50"/>
      <c r="F99" s="51"/>
      <c r="G99" s="52"/>
      <c r="H99" s="53" t="str">
        <f t="shared" si="1"/>
        <v/>
      </c>
    </row>
    <row r="100">
      <c r="A100" s="47"/>
      <c r="C100" s="48"/>
      <c r="D100" s="49"/>
      <c r="E100" s="50"/>
      <c r="F100" s="51"/>
      <c r="G100" s="52"/>
      <c r="H100" s="53" t="str">
        <f t="shared" si="1"/>
        <v/>
      </c>
    </row>
    <row r="101">
      <c r="A101" s="47"/>
      <c r="C101" s="48"/>
      <c r="D101" s="49"/>
      <c r="E101" s="50"/>
      <c r="F101" s="51"/>
      <c r="G101" s="52"/>
      <c r="H101" s="53" t="str">
        <f t="shared" si="1"/>
        <v/>
      </c>
    </row>
    <row r="102">
      <c r="A102" s="47"/>
      <c r="C102" s="48"/>
      <c r="D102" s="49"/>
      <c r="E102" s="50"/>
      <c r="F102" s="51"/>
      <c r="G102" s="52"/>
      <c r="H102" s="53" t="str">
        <f t="shared" si="1"/>
        <v/>
      </c>
    </row>
    <row r="103">
      <c r="A103" s="47"/>
      <c r="C103" s="48"/>
      <c r="D103" s="49"/>
      <c r="E103" s="50"/>
      <c r="F103" s="51"/>
      <c r="G103" s="52"/>
      <c r="H103" s="53" t="str">
        <f t="shared" si="1"/>
        <v/>
      </c>
    </row>
    <row r="104">
      <c r="A104" s="47"/>
      <c r="C104" s="48"/>
      <c r="D104" s="49"/>
      <c r="E104" s="50"/>
      <c r="F104" s="51"/>
      <c r="G104" s="52"/>
      <c r="H104" s="53" t="str">
        <f t="shared" si="1"/>
        <v/>
      </c>
    </row>
    <row r="105">
      <c r="A105" s="47"/>
      <c r="C105" s="48"/>
      <c r="D105" s="49"/>
      <c r="E105" s="50"/>
      <c r="F105" s="51"/>
      <c r="G105" s="52"/>
      <c r="H105" s="53" t="str">
        <f t="shared" si="1"/>
        <v/>
      </c>
    </row>
    <row r="106">
      <c r="A106" s="47"/>
      <c r="C106" s="48"/>
      <c r="D106" s="49"/>
      <c r="E106" s="50"/>
      <c r="F106" s="51"/>
      <c r="G106" s="52"/>
      <c r="H106" s="53" t="str">
        <f t="shared" si="1"/>
        <v/>
      </c>
    </row>
    <row r="107">
      <c r="A107" s="47"/>
      <c r="C107" s="48"/>
      <c r="D107" s="49"/>
      <c r="E107" s="50"/>
      <c r="F107" s="51"/>
      <c r="G107" s="52"/>
      <c r="H107" s="53" t="str">
        <f t="shared" si="1"/>
        <v/>
      </c>
    </row>
    <row r="108">
      <c r="A108" s="47"/>
      <c r="C108" s="48"/>
      <c r="D108" s="49"/>
      <c r="E108" s="50"/>
      <c r="F108" s="51"/>
      <c r="G108" s="52"/>
      <c r="H108" s="53" t="str">
        <f t="shared" si="1"/>
        <v/>
      </c>
    </row>
    <row r="109">
      <c r="A109" s="47"/>
      <c r="C109" s="48"/>
      <c r="D109" s="49"/>
      <c r="E109" s="50"/>
      <c r="F109" s="51"/>
      <c r="G109" s="52"/>
      <c r="H109" s="53" t="str">
        <f t="shared" si="1"/>
        <v/>
      </c>
    </row>
    <row r="110">
      <c r="A110" s="47"/>
      <c r="C110" s="48"/>
      <c r="D110" s="49"/>
      <c r="E110" s="50"/>
      <c r="F110" s="51"/>
      <c r="G110" s="52"/>
      <c r="H110" s="53" t="str">
        <f t="shared" si="1"/>
        <v/>
      </c>
    </row>
    <row r="111">
      <c r="A111" s="47"/>
      <c r="C111" s="48"/>
      <c r="D111" s="49"/>
      <c r="E111" s="50"/>
      <c r="F111" s="51"/>
      <c r="G111" s="52"/>
      <c r="H111" s="53" t="str">
        <f t="shared" si="1"/>
        <v/>
      </c>
    </row>
    <row r="112">
      <c r="A112" s="47"/>
      <c r="C112" s="48"/>
      <c r="D112" s="49"/>
      <c r="E112" s="50"/>
      <c r="F112" s="51"/>
      <c r="G112" s="52"/>
      <c r="H112" s="53" t="str">
        <f t="shared" si="1"/>
        <v/>
      </c>
    </row>
    <row r="113">
      <c r="A113" s="47"/>
      <c r="C113" s="48"/>
      <c r="D113" s="49"/>
      <c r="E113" s="50"/>
      <c r="F113" s="51"/>
      <c r="G113" s="52"/>
      <c r="H113" s="53" t="str">
        <f t="shared" si="1"/>
        <v/>
      </c>
    </row>
    <row r="114">
      <c r="A114" s="47"/>
      <c r="C114" s="48"/>
      <c r="D114" s="49"/>
      <c r="E114" s="50"/>
      <c r="F114" s="51"/>
      <c r="G114" s="52"/>
      <c r="H114" s="53" t="str">
        <f t="shared" si="1"/>
        <v/>
      </c>
    </row>
    <row r="115">
      <c r="A115" s="47"/>
      <c r="C115" s="48"/>
      <c r="D115" s="49"/>
      <c r="E115" s="50"/>
      <c r="F115" s="51"/>
      <c r="G115" s="52"/>
      <c r="H115" s="53" t="str">
        <f t="shared" si="1"/>
        <v/>
      </c>
    </row>
    <row r="116">
      <c r="A116" s="47"/>
      <c r="C116" s="48"/>
      <c r="D116" s="49"/>
      <c r="E116" s="50"/>
      <c r="F116" s="51"/>
      <c r="G116" s="52"/>
      <c r="H116" s="53" t="str">
        <f t="shared" si="1"/>
        <v/>
      </c>
    </row>
    <row r="117">
      <c r="A117" s="47"/>
      <c r="C117" s="48"/>
      <c r="D117" s="49"/>
      <c r="E117" s="50"/>
      <c r="F117" s="51"/>
      <c r="G117" s="52"/>
      <c r="H117" s="53" t="str">
        <f t="shared" si="1"/>
        <v/>
      </c>
    </row>
    <row r="118">
      <c r="A118" s="47"/>
      <c r="C118" s="48"/>
      <c r="D118" s="49"/>
      <c r="E118" s="50"/>
      <c r="F118" s="51"/>
      <c r="G118" s="52"/>
      <c r="H118" s="53" t="str">
        <f t="shared" si="1"/>
        <v/>
      </c>
    </row>
    <row r="119">
      <c r="A119" s="47"/>
      <c r="C119" s="48"/>
      <c r="D119" s="49"/>
      <c r="E119" s="50"/>
      <c r="F119" s="51"/>
      <c r="G119" s="52"/>
      <c r="H119" s="53" t="str">
        <f t="shared" si="1"/>
        <v/>
      </c>
    </row>
    <row r="120">
      <c r="A120" s="47"/>
      <c r="C120" s="48"/>
      <c r="D120" s="49"/>
      <c r="E120" s="50"/>
      <c r="F120" s="51"/>
      <c r="G120" s="52"/>
      <c r="H120" s="53" t="str">
        <f t="shared" si="1"/>
        <v/>
      </c>
    </row>
    <row r="121">
      <c r="A121" s="47"/>
      <c r="C121" s="48"/>
      <c r="D121" s="49"/>
      <c r="E121" s="50"/>
      <c r="F121" s="51"/>
      <c r="G121" s="52"/>
      <c r="H121" s="53" t="str">
        <f t="shared" si="1"/>
        <v/>
      </c>
    </row>
    <row r="122">
      <c r="A122" s="47"/>
      <c r="C122" s="48"/>
      <c r="D122" s="49"/>
      <c r="E122" s="50"/>
      <c r="F122" s="51"/>
      <c r="G122" s="52"/>
      <c r="H122" s="53" t="str">
        <f t="shared" si="1"/>
        <v/>
      </c>
    </row>
    <row r="123">
      <c r="A123" s="47"/>
      <c r="C123" s="48"/>
      <c r="D123" s="49"/>
      <c r="E123" s="50"/>
      <c r="F123" s="51"/>
      <c r="G123" s="52"/>
      <c r="H123" s="53" t="str">
        <f t="shared" si="1"/>
        <v/>
      </c>
    </row>
    <row r="124">
      <c r="A124" s="47"/>
      <c r="C124" s="48"/>
      <c r="D124" s="49"/>
      <c r="E124" s="50"/>
      <c r="F124" s="51"/>
      <c r="G124" s="52"/>
      <c r="H124" s="53" t="str">
        <f t="shared" si="1"/>
        <v/>
      </c>
    </row>
    <row r="125">
      <c r="A125" s="47"/>
      <c r="C125" s="48"/>
      <c r="D125" s="49"/>
      <c r="E125" s="50"/>
      <c r="F125" s="51"/>
      <c r="G125" s="52"/>
      <c r="H125" s="53" t="str">
        <f t="shared" si="1"/>
        <v/>
      </c>
    </row>
    <row r="126">
      <c r="A126" s="47"/>
      <c r="C126" s="48"/>
      <c r="D126" s="49"/>
      <c r="E126" s="50"/>
      <c r="F126" s="51"/>
      <c r="G126" s="52"/>
      <c r="H126" s="53" t="str">
        <f t="shared" si="1"/>
        <v/>
      </c>
    </row>
    <row r="127">
      <c r="A127" s="47"/>
      <c r="C127" s="48"/>
      <c r="D127" s="49"/>
      <c r="E127" s="50"/>
      <c r="F127" s="51"/>
      <c r="G127" s="52"/>
      <c r="H127" s="53" t="str">
        <f t="shared" si="1"/>
        <v/>
      </c>
    </row>
    <row r="128">
      <c r="A128" s="47"/>
      <c r="C128" s="48"/>
      <c r="D128" s="49"/>
      <c r="E128" s="50"/>
      <c r="F128" s="51"/>
      <c r="G128" s="52"/>
      <c r="H128" s="53" t="str">
        <f t="shared" si="1"/>
        <v/>
      </c>
    </row>
    <row r="129">
      <c r="A129" s="47"/>
      <c r="C129" s="48"/>
      <c r="D129" s="49"/>
      <c r="E129" s="50"/>
      <c r="F129" s="51"/>
      <c r="G129" s="52"/>
      <c r="H129" s="53" t="str">
        <f t="shared" si="1"/>
        <v/>
      </c>
    </row>
    <row r="130">
      <c r="A130" s="47"/>
      <c r="C130" s="48"/>
      <c r="D130" s="49"/>
      <c r="E130" s="50"/>
      <c r="F130" s="51"/>
      <c r="G130" s="52"/>
      <c r="H130" s="53" t="str">
        <f t="shared" si="1"/>
        <v/>
      </c>
    </row>
    <row r="131">
      <c r="A131" s="47"/>
      <c r="C131" s="48"/>
      <c r="D131" s="49"/>
      <c r="E131" s="50"/>
      <c r="F131" s="51"/>
      <c r="G131" s="52"/>
      <c r="H131" s="53" t="str">
        <f t="shared" si="1"/>
        <v/>
      </c>
    </row>
    <row r="132">
      <c r="A132" s="47"/>
      <c r="C132" s="48"/>
      <c r="D132" s="49"/>
      <c r="E132" s="50"/>
      <c r="F132" s="51"/>
      <c r="G132" s="52"/>
      <c r="H132" s="53" t="str">
        <f t="shared" si="1"/>
        <v/>
      </c>
    </row>
    <row r="133">
      <c r="A133" s="47"/>
      <c r="C133" s="48"/>
      <c r="D133" s="49"/>
      <c r="E133" s="50"/>
      <c r="F133" s="51"/>
      <c r="G133" s="52"/>
      <c r="H133" s="53" t="str">
        <f t="shared" si="1"/>
        <v/>
      </c>
    </row>
    <row r="134">
      <c r="A134" s="47"/>
      <c r="C134" s="48"/>
      <c r="D134" s="49"/>
      <c r="E134" s="50"/>
      <c r="F134" s="51"/>
      <c r="G134" s="52"/>
      <c r="H134" s="53" t="str">
        <f t="shared" si="1"/>
        <v/>
      </c>
    </row>
    <row r="135">
      <c r="A135" s="47"/>
      <c r="C135" s="48"/>
      <c r="D135" s="49"/>
      <c r="E135" s="50"/>
      <c r="F135" s="51"/>
      <c r="G135" s="52"/>
      <c r="H135" s="53" t="str">
        <f t="shared" si="1"/>
        <v/>
      </c>
    </row>
    <row r="136">
      <c r="A136" s="47"/>
      <c r="C136" s="48"/>
      <c r="D136" s="49"/>
      <c r="E136" s="50"/>
      <c r="F136" s="51"/>
      <c r="G136" s="52"/>
      <c r="H136" s="53" t="str">
        <f t="shared" si="1"/>
        <v/>
      </c>
    </row>
    <row r="137">
      <c r="A137" s="47"/>
      <c r="C137" s="48"/>
      <c r="D137" s="49"/>
      <c r="E137" s="50"/>
      <c r="F137" s="51"/>
      <c r="G137" s="52"/>
      <c r="H137" s="53" t="str">
        <f t="shared" si="1"/>
        <v/>
      </c>
    </row>
    <row r="138">
      <c r="A138" s="47"/>
      <c r="C138" s="48"/>
      <c r="D138" s="49"/>
      <c r="E138" s="50"/>
      <c r="F138" s="51"/>
      <c r="G138" s="52"/>
      <c r="H138" s="53" t="str">
        <f t="shared" si="1"/>
        <v/>
      </c>
    </row>
    <row r="139">
      <c r="A139" s="47"/>
      <c r="C139" s="48"/>
      <c r="D139" s="49"/>
      <c r="E139" s="50"/>
      <c r="F139" s="51"/>
      <c r="G139" s="52"/>
      <c r="H139" s="53" t="str">
        <f t="shared" si="1"/>
        <v/>
      </c>
    </row>
    <row r="140">
      <c r="A140" s="47"/>
      <c r="C140" s="48"/>
      <c r="D140" s="49"/>
      <c r="E140" s="50"/>
      <c r="F140" s="51"/>
      <c r="G140" s="52"/>
      <c r="H140" s="53" t="str">
        <f t="shared" si="1"/>
        <v/>
      </c>
    </row>
    <row r="141">
      <c r="A141" s="47"/>
      <c r="C141" s="48"/>
      <c r="D141" s="49"/>
      <c r="E141" s="50"/>
      <c r="F141" s="51"/>
      <c r="G141" s="52"/>
      <c r="H141" s="53" t="str">
        <f t="shared" si="1"/>
        <v/>
      </c>
    </row>
    <row r="142">
      <c r="A142" s="47"/>
      <c r="C142" s="48"/>
      <c r="D142" s="49"/>
      <c r="E142" s="50"/>
      <c r="F142" s="51"/>
      <c r="G142" s="52"/>
      <c r="H142" s="53" t="str">
        <f t="shared" si="1"/>
        <v/>
      </c>
    </row>
    <row r="143">
      <c r="A143" s="47"/>
      <c r="C143" s="48"/>
      <c r="D143" s="49"/>
      <c r="E143" s="50"/>
      <c r="F143" s="51"/>
      <c r="G143" s="52"/>
      <c r="H143" s="53" t="str">
        <f t="shared" si="1"/>
        <v/>
      </c>
    </row>
    <row r="144">
      <c r="A144" s="47"/>
      <c r="C144" s="48"/>
      <c r="D144" s="49"/>
      <c r="E144" s="50"/>
      <c r="F144" s="51"/>
      <c r="G144" s="52"/>
      <c r="H144" s="53" t="str">
        <f t="shared" si="1"/>
        <v/>
      </c>
    </row>
    <row r="145">
      <c r="A145" s="47"/>
      <c r="C145" s="48"/>
      <c r="D145" s="49"/>
      <c r="E145" s="50"/>
      <c r="F145" s="51"/>
      <c r="G145" s="52"/>
      <c r="H145" s="53" t="str">
        <f t="shared" si="1"/>
        <v/>
      </c>
    </row>
    <row r="146">
      <c r="A146" s="47"/>
      <c r="C146" s="48"/>
      <c r="D146" s="49"/>
      <c r="E146" s="50"/>
      <c r="F146" s="51"/>
      <c r="G146" s="52"/>
      <c r="H146" s="53" t="str">
        <f t="shared" si="1"/>
        <v/>
      </c>
    </row>
    <row r="147">
      <c r="A147" s="47"/>
      <c r="C147" s="48"/>
      <c r="D147" s="49"/>
      <c r="E147" s="50"/>
      <c r="F147" s="51"/>
      <c r="G147" s="52"/>
      <c r="H147" s="53" t="str">
        <f t="shared" si="1"/>
        <v/>
      </c>
    </row>
    <row r="148">
      <c r="A148" s="47"/>
      <c r="C148" s="48"/>
      <c r="D148" s="49"/>
      <c r="E148" s="50"/>
      <c r="F148" s="51"/>
      <c r="G148" s="52"/>
      <c r="H148" s="53" t="str">
        <f t="shared" si="1"/>
        <v/>
      </c>
    </row>
    <row r="149">
      <c r="A149" s="47"/>
      <c r="C149" s="48"/>
      <c r="D149" s="49"/>
      <c r="E149" s="50"/>
      <c r="F149" s="51"/>
      <c r="G149" s="52"/>
      <c r="H149" s="53" t="str">
        <f t="shared" si="1"/>
        <v/>
      </c>
    </row>
    <row r="150">
      <c r="A150" s="47"/>
      <c r="C150" s="48"/>
      <c r="D150" s="49"/>
      <c r="E150" s="50"/>
      <c r="F150" s="51"/>
      <c r="G150" s="52"/>
      <c r="H150" s="53" t="str">
        <f t="shared" si="1"/>
        <v/>
      </c>
    </row>
    <row r="151">
      <c r="A151" s="47"/>
      <c r="C151" s="48"/>
      <c r="D151" s="49"/>
      <c r="E151" s="50"/>
      <c r="F151" s="51"/>
      <c r="G151" s="52"/>
      <c r="H151" s="53" t="str">
        <f t="shared" si="1"/>
        <v/>
      </c>
    </row>
    <row r="152">
      <c r="A152" s="47"/>
      <c r="C152" s="48"/>
      <c r="D152" s="49"/>
      <c r="E152" s="50"/>
      <c r="F152" s="51"/>
      <c r="G152" s="52"/>
      <c r="H152" s="53" t="str">
        <f t="shared" si="1"/>
        <v/>
      </c>
    </row>
    <row r="153">
      <c r="A153" s="47"/>
      <c r="C153" s="48"/>
      <c r="D153" s="49"/>
      <c r="E153" s="50"/>
      <c r="F153" s="51"/>
      <c r="G153" s="52"/>
      <c r="H153" s="53" t="str">
        <f t="shared" si="1"/>
        <v/>
      </c>
    </row>
    <row r="154">
      <c r="A154" s="47"/>
      <c r="C154" s="48"/>
      <c r="D154" s="49"/>
      <c r="E154" s="50"/>
      <c r="F154" s="51"/>
      <c r="G154" s="52"/>
      <c r="H154" s="53" t="str">
        <f t="shared" si="1"/>
        <v/>
      </c>
    </row>
    <row r="155">
      <c r="A155" s="47"/>
      <c r="C155" s="48"/>
      <c r="D155" s="49"/>
      <c r="E155" s="50"/>
      <c r="F155" s="51"/>
      <c r="G155" s="52"/>
      <c r="H155" s="53" t="str">
        <f t="shared" si="1"/>
        <v/>
      </c>
    </row>
    <row r="156">
      <c r="A156" s="47"/>
      <c r="C156" s="48"/>
      <c r="D156" s="49"/>
      <c r="E156" s="50"/>
      <c r="F156" s="51"/>
      <c r="G156" s="52"/>
      <c r="H156" s="53" t="str">
        <f t="shared" si="1"/>
        <v/>
      </c>
    </row>
    <row r="157">
      <c r="A157" s="47"/>
      <c r="C157" s="48"/>
      <c r="D157" s="49"/>
      <c r="E157" s="50"/>
      <c r="F157" s="51"/>
      <c r="G157" s="52"/>
      <c r="H157" s="53" t="str">
        <f t="shared" si="1"/>
        <v/>
      </c>
    </row>
    <row r="158">
      <c r="A158" s="47"/>
      <c r="C158" s="48"/>
      <c r="D158" s="49"/>
      <c r="E158" s="50"/>
      <c r="F158" s="51"/>
      <c r="G158" s="52"/>
      <c r="H158" s="53" t="str">
        <f t="shared" si="1"/>
        <v/>
      </c>
    </row>
    <row r="159">
      <c r="A159" s="47"/>
      <c r="C159" s="48"/>
      <c r="D159" s="49"/>
      <c r="E159" s="50"/>
      <c r="F159" s="51"/>
      <c r="G159" s="52"/>
      <c r="H159" s="53" t="str">
        <f t="shared" si="1"/>
        <v/>
      </c>
    </row>
    <row r="160">
      <c r="A160" s="47"/>
      <c r="C160" s="48"/>
      <c r="D160" s="49"/>
      <c r="E160" s="50"/>
      <c r="F160" s="51"/>
      <c r="G160" s="52"/>
      <c r="H160" s="53" t="str">
        <f t="shared" si="1"/>
        <v/>
      </c>
    </row>
    <row r="161">
      <c r="A161" s="47"/>
      <c r="C161" s="48"/>
      <c r="D161" s="49"/>
      <c r="E161" s="50"/>
      <c r="F161" s="51"/>
      <c r="G161" s="52"/>
      <c r="H161" s="53" t="str">
        <f t="shared" si="1"/>
        <v/>
      </c>
    </row>
    <row r="162">
      <c r="A162" s="47"/>
      <c r="C162" s="48"/>
      <c r="D162" s="49"/>
      <c r="E162" s="50"/>
      <c r="F162" s="51"/>
      <c r="G162" s="52"/>
      <c r="H162" s="53" t="str">
        <f t="shared" si="1"/>
        <v/>
      </c>
    </row>
    <row r="163">
      <c r="A163" s="47"/>
      <c r="C163" s="48"/>
      <c r="D163" s="49"/>
      <c r="E163" s="50"/>
      <c r="F163" s="51"/>
      <c r="G163" s="52"/>
      <c r="H163" s="53" t="str">
        <f t="shared" si="1"/>
        <v/>
      </c>
    </row>
    <row r="164">
      <c r="A164" s="47"/>
      <c r="C164" s="48"/>
      <c r="D164" s="49"/>
      <c r="E164" s="50"/>
      <c r="F164" s="51"/>
      <c r="G164" s="52"/>
      <c r="H164" s="53" t="str">
        <f t="shared" si="1"/>
        <v/>
      </c>
    </row>
    <row r="165">
      <c r="A165" s="47"/>
      <c r="C165" s="48"/>
      <c r="D165" s="49"/>
      <c r="E165" s="50"/>
      <c r="F165" s="51"/>
      <c r="G165" s="52"/>
      <c r="H165" s="53" t="str">
        <f t="shared" si="1"/>
        <v/>
      </c>
    </row>
    <row r="166">
      <c r="A166" s="47"/>
      <c r="C166" s="48"/>
      <c r="D166" s="49"/>
      <c r="E166" s="50"/>
      <c r="F166" s="51"/>
      <c r="G166" s="52"/>
      <c r="H166" s="53" t="str">
        <f t="shared" si="1"/>
        <v/>
      </c>
    </row>
    <row r="167">
      <c r="A167" s="47"/>
      <c r="C167" s="48"/>
      <c r="D167" s="49"/>
      <c r="E167" s="50"/>
      <c r="F167" s="51"/>
      <c r="G167" s="52"/>
      <c r="H167" s="53" t="str">
        <f t="shared" si="1"/>
        <v/>
      </c>
    </row>
    <row r="168">
      <c r="A168" s="47"/>
      <c r="C168" s="48"/>
      <c r="D168" s="49"/>
      <c r="E168" s="50"/>
      <c r="F168" s="51"/>
      <c r="G168" s="52"/>
      <c r="H168" s="53" t="str">
        <f t="shared" si="1"/>
        <v/>
      </c>
    </row>
    <row r="169">
      <c r="A169" s="47"/>
      <c r="C169" s="48"/>
      <c r="D169" s="49"/>
      <c r="E169" s="50"/>
      <c r="F169" s="51"/>
      <c r="G169" s="52"/>
      <c r="H169" s="53" t="str">
        <f t="shared" si="1"/>
        <v/>
      </c>
    </row>
    <row r="170">
      <c r="A170" s="47"/>
      <c r="C170" s="48"/>
      <c r="D170" s="49"/>
      <c r="E170" s="50"/>
      <c r="F170" s="51"/>
      <c r="G170" s="52"/>
      <c r="H170" s="53" t="str">
        <f t="shared" si="1"/>
        <v/>
      </c>
    </row>
    <row r="171">
      <c r="A171" s="47"/>
      <c r="C171" s="48"/>
      <c r="D171" s="49"/>
      <c r="E171" s="50"/>
      <c r="F171" s="51"/>
      <c r="G171" s="52"/>
      <c r="H171" s="53" t="str">
        <f t="shared" si="1"/>
        <v/>
      </c>
    </row>
    <row r="172">
      <c r="A172" s="47"/>
      <c r="C172" s="48"/>
      <c r="D172" s="49"/>
      <c r="E172" s="50"/>
      <c r="F172" s="51"/>
      <c r="G172" s="52"/>
      <c r="H172" s="53" t="str">
        <f t="shared" si="1"/>
        <v/>
      </c>
    </row>
    <row r="173">
      <c r="A173" s="47"/>
      <c r="C173" s="48"/>
      <c r="D173" s="49"/>
      <c r="E173" s="50"/>
      <c r="F173" s="51"/>
      <c r="G173" s="52"/>
      <c r="H173" s="53" t="str">
        <f t="shared" si="1"/>
        <v/>
      </c>
    </row>
    <row r="174">
      <c r="A174" s="47"/>
      <c r="C174" s="48"/>
      <c r="D174" s="49"/>
      <c r="E174" s="50"/>
      <c r="F174" s="51"/>
      <c r="G174" s="52"/>
      <c r="H174" s="53" t="str">
        <f t="shared" si="1"/>
        <v/>
      </c>
    </row>
    <row r="175">
      <c r="A175" s="47"/>
      <c r="C175" s="48"/>
      <c r="D175" s="49"/>
      <c r="E175" s="50"/>
      <c r="F175" s="51"/>
      <c r="G175" s="52"/>
      <c r="H175" s="53" t="str">
        <f t="shared" si="1"/>
        <v/>
      </c>
    </row>
    <row r="176">
      <c r="A176" s="47"/>
      <c r="C176" s="48"/>
      <c r="D176" s="49"/>
      <c r="E176" s="50"/>
      <c r="F176" s="51"/>
      <c r="G176" s="52"/>
      <c r="H176" s="53" t="str">
        <f t="shared" si="1"/>
        <v/>
      </c>
    </row>
    <row r="177">
      <c r="A177" s="47"/>
      <c r="C177" s="48"/>
      <c r="D177" s="49"/>
      <c r="E177" s="50"/>
      <c r="F177" s="51"/>
      <c r="G177" s="52"/>
      <c r="H177" s="53" t="str">
        <f t="shared" si="1"/>
        <v/>
      </c>
    </row>
    <row r="178">
      <c r="A178" s="47"/>
      <c r="C178" s="48"/>
      <c r="D178" s="49"/>
      <c r="E178" s="50"/>
      <c r="F178" s="51"/>
      <c r="G178" s="52"/>
      <c r="H178" s="53" t="str">
        <f t="shared" si="1"/>
        <v/>
      </c>
    </row>
    <row r="179">
      <c r="A179" s="47"/>
      <c r="C179" s="48"/>
      <c r="D179" s="49"/>
      <c r="E179" s="50"/>
      <c r="F179" s="51"/>
      <c r="G179" s="52"/>
      <c r="H179" s="53" t="str">
        <f t="shared" si="1"/>
        <v/>
      </c>
    </row>
    <row r="180">
      <c r="A180" s="47"/>
      <c r="C180" s="48"/>
      <c r="D180" s="49"/>
      <c r="E180" s="50"/>
      <c r="F180" s="51"/>
      <c r="G180" s="52"/>
      <c r="H180" s="53" t="str">
        <f t="shared" si="1"/>
        <v/>
      </c>
    </row>
    <row r="181">
      <c r="A181" s="47"/>
      <c r="C181" s="48"/>
      <c r="D181" s="49"/>
      <c r="E181" s="50"/>
      <c r="F181" s="51"/>
      <c r="G181" s="52"/>
      <c r="H181" s="53" t="str">
        <f t="shared" si="1"/>
        <v/>
      </c>
    </row>
    <row r="182">
      <c r="A182" s="47"/>
      <c r="C182" s="48"/>
      <c r="D182" s="49"/>
      <c r="E182" s="50"/>
      <c r="F182" s="51"/>
      <c r="G182" s="52"/>
      <c r="H182" s="53" t="str">
        <f t="shared" si="1"/>
        <v/>
      </c>
    </row>
    <row r="183">
      <c r="A183" s="47"/>
      <c r="C183" s="48"/>
      <c r="D183" s="49"/>
      <c r="E183" s="50"/>
      <c r="F183" s="51"/>
      <c r="G183" s="52"/>
      <c r="H183" s="53" t="str">
        <f t="shared" si="1"/>
        <v/>
      </c>
    </row>
    <row r="184">
      <c r="A184" s="47"/>
      <c r="C184" s="48"/>
      <c r="D184" s="49"/>
      <c r="E184" s="50"/>
      <c r="F184" s="51"/>
      <c r="G184" s="52"/>
      <c r="H184" s="53" t="str">
        <f t="shared" si="1"/>
        <v/>
      </c>
    </row>
    <row r="185">
      <c r="A185" s="47"/>
      <c r="C185" s="48"/>
      <c r="D185" s="49"/>
      <c r="E185" s="50"/>
      <c r="F185" s="51"/>
      <c r="G185" s="52"/>
      <c r="H185" s="53" t="str">
        <f t="shared" si="1"/>
        <v/>
      </c>
    </row>
    <row r="186">
      <c r="A186" s="47"/>
      <c r="C186" s="48"/>
      <c r="D186" s="49"/>
      <c r="E186" s="50"/>
      <c r="F186" s="51"/>
      <c r="G186" s="52"/>
      <c r="H186" s="53" t="str">
        <f t="shared" si="1"/>
        <v/>
      </c>
    </row>
    <row r="187">
      <c r="A187" s="47"/>
      <c r="C187" s="48"/>
      <c r="D187" s="49"/>
      <c r="E187" s="50"/>
      <c r="F187" s="51"/>
      <c r="G187" s="52"/>
      <c r="H187" s="53" t="str">
        <f t="shared" si="1"/>
        <v/>
      </c>
    </row>
    <row r="188">
      <c r="A188" s="47"/>
      <c r="C188" s="48"/>
      <c r="D188" s="49"/>
      <c r="E188" s="50"/>
      <c r="F188" s="51"/>
      <c r="G188" s="52"/>
      <c r="H188" s="53" t="str">
        <f t="shared" si="1"/>
        <v/>
      </c>
    </row>
    <row r="189">
      <c r="A189" s="47"/>
      <c r="C189" s="48"/>
      <c r="D189" s="49"/>
      <c r="E189" s="50"/>
      <c r="F189" s="51"/>
      <c r="G189" s="52"/>
      <c r="H189" s="53" t="str">
        <f t="shared" si="1"/>
        <v/>
      </c>
    </row>
    <row r="190">
      <c r="A190" s="47"/>
      <c r="C190" s="48"/>
      <c r="D190" s="49"/>
      <c r="E190" s="50"/>
      <c r="F190" s="51"/>
      <c r="G190" s="52"/>
      <c r="H190" s="53" t="str">
        <f t="shared" si="1"/>
        <v/>
      </c>
    </row>
    <row r="191">
      <c r="A191" s="47"/>
      <c r="C191" s="48"/>
      <c r="D191" s="49"/>
      <c r="E191" s="50"/>
      <c r="F191" s="51"/>
      <c r="G191" s="52"/>
      <c r="H191" s="53" t="str">
        <f t="shared" si="1"/>
        <v/>
      </c>
    </row>
    <row r="192">
      <c r="A192" s="47"/>
      <c r="C192" s="48"/>
      <c r="D192" s="49"/>
      <c r="E192" s="50"/>
      <c r="F192" s="51"/>
      <c r="G192" s="52"/>
      <c r="H192" s="53" t="str">
        <f t="shared" si="1"/>
        <v/>
      </c>
    </row>
    <row r="193">
      <c r="A193" s="47"/>
      <c r="C193" s="48"/>
      <c r="D193" s="49"/>
      <c r="E193" s="50"/>
      <c r="F193" s="51"/>
      <c r="G193" s="52"/>
      <c r="H193" s="53" t="str">
        <f t="shared" si="1"/>
        <v/>
      </c>
    </row>
    <row r="194">
      <c r="A194" s="47"/>
      <c r="C194" s="48"/>
      <c r="D194" s="49"/>
      <c r="E194" s="50"/>
      <c r="F194" s="51"/>
      <c r="G194" s="52"/>
      <c r="H194" s="53" t="str">
        <f t="shared" si="1"/>
        <v/>
      </c>
    </row>
    <row r="195">
      <c r="A195" s="47"/>
      <c r="C195" s="48"/>
      <c r="D195" s="49"/>
      <c r="E195" s="50"/>
      <c r="F195" s="51"/>
      <c r="G195" s="52"/>
      <c r="H195" s="53" t="str">
        <f t="shared" si="1"/>
        <v/>
      </c>
    </row>
    <row r="196">
      <c r="A196" s="47"/>
      <c r="C196" s="48"/>
      <c r="D196" s="49"/>
      <c r="E196" s="50"/>
      <c r="F196" s="51"/>
      <c r="G196" s="52"/>
      <c r="H196" s="53" t="str">
        <f t="shared" si="1"/>
        <v/>
      </c>
    </row>
    <row r="197">
      <c r="A197" s="47"/>
      <c r="C197" s="48"/>
      <c r="D197" s="49"/>
      <c r="E197" s="50"/>
      <c r="F197" s="51"/>
      <c r="G197" s="52"/>
      <c r="H197" s="53" t="str">
        <f t="shared" si="1"/>
        <v/>
      </c>
    </row>
    <row r="198">
      <c r="A198" s="47"/>
      <c r="C198" s="48"/>
      <c r="D198" s="49"/>
      <c r="E198" s="50"/>
      <c r="F198" s="51"/>
      <c r="G198" s="52"/>
      <c r="H198" s="53" t="str">
        <f t="shared" si="1"/>
        <v/>
      </c>
    </row>
    <row r="199">
      <c r="A199" s="47"/>
      <c r="C199" s="48"/>
      <c r="D199" s="49"/>
      <c r="E199" s="50"/>
      <c r="F199" s="51"/>
      <c r="G199" s="52"/>
      <c r="H199" s="53" t="str">
        <f t="shared" si="1"/>
        <v/>
      </c>
    </row>
    <row r="200">
      <c r="A200" s="47"/>
      <c r="C200" s="48"/>
      <c r="D200" s="49"/>
      <c r="E200" s="50"/>
      <c r="F200" s="51"/>
      <c r="G200" s="52"/>
      <c r="H200" s="53" t="str">
        <f t="shared" si="1"/>
        <v/>
      </c>
    </row>
    <row r="201">
      <c r="A201" s="47"/>
      <c r="C201" s="48"/>
      <c r="D201" s="49"/>
      <c r="E201" s="50"/>
      <c r="F201" s="51"/>
      <c r="G201" s="52"/>
      <c r="H201" s="53" t="str">
        <f t="shared" si="1"/>
        <v/>
      </c>
    </row>
    <row r="202">
      <c r="A202" s="47"/>
      <c r="C202" s="48"/>
      <c r="D202" s="49"/>
      <c r="E202" s="50"/>
      <c r="F202" s="51"/>
      <c r="G202" s="52"/>
      <c r="H202" s="53" t="str">
        <f t="shared" si="1"/>
        <v/>
      </c>
    </row>
    <row r="203">
      <c r="A203" s="47"/>
      <c r="C203" s="48"/>
      <c r="D203" s="49"/>
      <c r="E203" s="50"/>
      <c r="F203" s="51"/>
      <c r="G203" s="52"/>
      <c r="H203" s="53" t="str">
        <f t="shared" si="1"/>
        <v/>
      </c>
    </row>
    <row r="204">
      <c r="A204" s="47"/>
      <c r="C204" s="48"/>
      <c r="D204" s="49"/>
      <c r="E204" s="50"/>
      <c r="F204" s="51"/>
      <c r="G204" s="52"/>
      <c r="H204" s="53" t="str">
        <f t="shared" si="1"/>
        <v/>
      </c>
    </row>
    <row r="205">
      <c r="A205" s="47"/>
      <c r="C205" s="48"/>
      <c r="D205" s="49"/>
      <c r="E205" s="50"/>
      <c r="F205" s="51"/>
      <c r="G205" s="52"/>
      <c r="H205" s="53" t="str">
        <f t="shared" si="1"/>
        <v/>
      </c>
    </row>
    <row r="206">
      <c r="A206" s="47"/>
      <c r="C206" s="48"/>
      <c r="D206" s="49"/>
      <c r="E206" s="50"/>
      <c r="F206" s="51"/>
      <c r="G206" s="52"/>
      <c r="H206" s="53" t="str">
        <f t="shared" si="1"/>
        <v/>
      </c>
    </row>
    <row r="207">
      <c r="A207" s="47"/>
      <c r="C207" s="48"/>
      <c r="D207" s="49"/>
      <c r="E207" s="50"/>
      <c r="F207" s="51"/>
      <c r="G207" s="52"/>
      <c r="H207" s="53" t="str">
        <f t="shared" si="1"/>
        <v/>
      </c>
    </row>
    <row r="208">
      <c r="A208" s="47"/>
      <c r="C208" s="48"/>
      <c r="D208" s="49"/>
      <c r="E208" s="50"/>
      <c r="F208" s="51"/>
      <c r="G208" s="52"/>
      <c r="H208" s="53" t="str">
        <f t="shared" si="1"/>
        <v/>
      </c>
    </row>
    <row r="209">
      <c r="A209" s="47"/>
      <c r="C209" s="48"/>
      <c r="D209" s="49"/>
      <c r="E209" s="50"/>
      <c r="F209" s="51"/>
      <c r="G209" s="52"/>
      <c r="H209" s="53" t="str">
        <f t="shared" si="1"/>
        <v/>
      </c>
    </row>
    <row r="210">
      <c r="A210" s="47"/>
      <c r="C210" s="48"/>
      <c r="D210" s="49"/>
      <c r="E210" s="50"/>
      <c r="F210" s="51"/>
      <c r="G210" s="52"/>
      <c r="H210" s="53" t="str">
        <f t="shared" si="1"/>
        <v/>
      </c>
    </row>
    <row r="211">
      <c r="A211" s="47"/>
      <c r="C211" s="48"/>
      <c r="D211" s="49"/>
      <c r="E211" s="50"/>
      <c r="F211" s="51"/>
      <c r="G211" s="52"/>
      <c r="H211" s="53" t="str">
        <f t="shared" si="1"/>
        <v/>
      </c>
    </row>
    <row r="212">
      <c r="A212" s="47"/>
      <c r="C212" s="48"/>
      <c r="D212" s="49"/>
      <c r="E212" s="50"/>
      <c r="F212" s="51"/>
      <c r="G212" s="52"/>
      <c r="H212" s="53" t="str">
        <f t="shared" si="1"/>
        <v/>
      </c>
    </row>
    <row r="213">
      <c r="A213" s="47"/>
      <c r="C213" s="48"/>
      <c r="D213" s="49"/>
      <c r="E213" s="50"/>
      <c r="F213" s="51"/>
      <c r="G213" s="52"/>
      <c r="H213" s="53" t="str">
        <f t="shared" si="1"/>
        <v/>
      </c>
    </row>
    <row r="214">
      <c r="A214" s="47"/>
      <c r="C214" s="48"/>
      <c r="D214" s="49"/>
      <c r="E214" s="50"/>
      <c r="F214" s="51"/>
      <c r="G214" s="52"/>
      <c r="H214" s="53" t="str">
        <f t="shared" si="1"/>
        <v/>
      </c>
    </row>
    <row r="215">
      <c r="A215" s="47"/>
      <c r="C215" s="48"/>
      <c r="D215" s="49"/>
      <c r="E215" s="50"/>
      <c r="F215" s="51"/>
      <c r="G215" s="52"/>
      <c r="H215" s="53" t="str">
        <f t="shared" si="1"/>
        <v/>
      </c>
    </row>
    <row r="216">
      <c r="A216" s="47"/>
      <c r="C216" s="48"/>
      <c r="D216" s="49"/>
      <c r="E216" s="50"/>
      <c r="F216" s="51"/>
      <c r="G216" s="52"/>
      <c r="H216" s="53" t="str">
        <f t="shared" si="1"/>
        <v/>
      </c>
    </row>
    <row r="217">
      <c r="A217" s="47"/>
      <c r="C217" s="48"/>
      <c r="D217" s="49"/>
      <c r="E217" s="50"/>
      <c r="F217" s="51"/>
      <c r="G217" s="52"/>
      <c r="H217" s="53" t="str">
        <f t="shared" si="1"/>
        <v/>
      </c>
    </row>
    <row r="218">
      <c r="A218" s="47"/>
      <c r="C218" s="48"/>
      <c r="D218" s="49"/>
      <c r="E218" s="50"/>
      <c r="F218" s="51"/>
      <c r="G218" s="52"/>
      <c r="H218" s="53" t="str">
        <f t="shared" si="1"/>
        <v/>
      </c>
    </row>
    <row r="219">
      <c r="A219" s="47"/>
      <c r="C219" s="48"/>
      <c r="D219" s="49"/>
      <c r="E219" s="50"/>
      <c r="F219" s="51"/>
      <c r="G219" s="52"/>
      <c r="H219" s="53" t="str">
        <f t="shared" si="1"/>
        <v/>
      </c>
    </row>
    <row r="220">
      <c r="A220" s="47"/>
      <c r="C220" s="48"/>
      <c r="D220" s="49"/>
      <c r="E220" s="50"/>
      <c r="F220" s="51"/>
      <c r="G220" s="52"/>
      <c r="H220" s="53" t="str">
        <f t="shared" si="1"/>
        <v/>
      </c>
    </row>
    <row r="221">
      <c r="A221" s="47"/>
      <c r="C221" s="48"/>
      <c r="D221" s="49"/>
      <c r="E221" s="50"/>
      <c r="F221" s="51"/>
      <c r="G221" s="52"/>
      <c r="H221" s="53" t="str">
        <f t="shared" si="1"/>
        <v/>
      </c>
    </row>
    <row r="222">
      <c r="A222" s="47"/>
      <c r="C222" s="48"/>
      <c r="D222" s="49"/>
      <c r="E222" s="50"/>
      <c r="F222" s="51"/>
      <c r="G222" s="52"/>
      <c r="H222" s="53" t="str">
        <f t="shared" si="1"/>
        <v/>
      </c>
    </row>
    <row r="223">
      <c r="A223" s="47"/>
      <c r="C223" s="48"/>
      <c r="D223" s="49"/>
      <c r="E223" s="50"/>
      <c r="F223" s="51"/>
      <c r="G223" s="52"/>
      <c r="H223" s="53" t="str">
        <f t="shared" si="1"/>
        <v/>
      </c>
    </row>
    <row r="224">
      <c r="A224" s="47"/>
      <c r="C224" s="48"/>
      <c r="D224" s="49"/>
      <c r="E224" s="50"/>
      <c r="F224" s="51"/>
      <c r="G224" s="52"/>
      <c r="H224" s="53" t="str">
        <f t="shared" si="1"/>
        <v/>
      </c>
    </row>
    <row r="225">
      <c r="A225" s="47"/>
      <c r="C225" s="48"/>
      <c r="D225" s="49"/>
      <c r="E225" s="50"/>
      <c r="F225" s="51"/>
      <c r="G225" s="52"/>
      <c r="H225" s="53" t="str">
        <f t="shared" si="1"/>
        <v/>
      </c>
    </row>
    <row r="226">
      <c r="A226" s="47"/>
      <c r="C226" s="48"/>
      <c r="D226" s="49"/>
      <c r="E226" s="50"/>
      <c r="F226" s="51"/>
      <c r="G226" s="52"/>
      <c r="H226" s="53" t="str">
        <f t="shared" si="1"/>
        <v/>
      </c>
    </row>
    <row r="227">
      <c r="A227" s="47"/>
      <c r="C227" s="48"/>
      <c r="D227" s="49"/>
      <c r="E227" s="50"/>
      <c r="F227" s="51"/>
      <c r="G227" s="52"/>
      <c r="H227" s="53" t="str">
        <f t="shared" si="1"/>
        <v/>
      </c>
    </row>
    <row r="228">
      <c r="A228" s="47"/>
      <c r="C228" s="48"/>
      <c r="D228" s="49"/>
      <c r="E228" s="50"/>
      <c r="F228" s="51"/>
      <c r="G228" s="52"/>
      <c r="H228" s="53" t="str">
        <f t="shared" si="1"/>
        <v/>
      </c>
    </row>
    <row r="229">
      <c r="A229" s="47"/>
      <c r="C229" s="48"/>
      <c r="D229" s="49"/>
      <c r="E229" s="50"/>
      <c r="F229" s="51"/>
      <c r="G229" s="52"/>
      <c r="H229" s="53" t="str">
        <f t="shared" si="1"/>
        <v/>
      </c>
    </row>
    <row r="230">
      <c r="A230" s="47"/>
      <c r="C230" s="48"/>
      <c r="D230" s="49"/>
      <c r="E230" s="50"/>
      <c r="F230" s="51"/>
      <c r="G230" s="52"/>
      <c r="H230" s="53" t="str">
        <f t="shared" si="1"/>
        <v/>
      </c>
    </row>
    <row r="231">
      <c r="A231" s="47"/>
      <c r="C231" s="48"/>
      <c r="D231" s="49"/>
      <c r="E231" s="50"/>
      <c r="F231" s="51"/>
      <c r="G231" s="52"/>
      <c r="H231" s="53" t="str">
        <f t="shared" si="1"/>
        <v/>
      </c>
    </row>
    <row r="232">
      <c r="A232" s="47"/>
      <c r="C232" s="48"/>
      <c r="D232" s="49"/>
      <c r="E232" s="50"/>
      <c r="F232" s="51"/>
      <c r="G232" s="52"/>
      <c r="H232" s="53" t="str">
        <f t="shared" si="1"/>
        <v/>
      </c>
    </row>
    <row r="233">
      <c r="A233" s="47"/>
      <c r="C233" s="48"/>
      <c r="D233" s="49"/>
      <c r="E233" s="50"/>
      <c r="F233" s="51"/>
      <c r="G233" s="52"/>
      <c r="H233" s="53" t="str">
        <f t="shared" si="1"/>
        <v/>
      </c>
    </row>
    <row r="234">
      <c r="A234" s="47"/>
      <c r="C234" s="48"/>
      <c r="D234" s="49"/>
      <c r="E234" s="50"/>
      <c r="F234" s="51"/>
      <c r="G234" s="52"/>
      <c r="H234" s="53" t="str">
        <f t="shared" si="1"/>
        <v/>
      </c>
    </row>
    <row r="235">
      <c r="A235" s="47"/>
      <c r="C235" s="48"/>
      <c r="D235" s="49"/>
      <c r="E235" s="50"/>
      <c r="F235" s="51"/>
      <c r="G235" s="52"/>
      <c r="H235" s="53" t="str">
        <f t="shared" si="1"/>
        <v/>
      </c>
    </row>
    <row r="236">
      <c r="A236" s="47"/>
      <c r="C236" s="48"/>
      <c r="D236" s="49"/>
      <c r="E236" s="50"/>
      <c r="F236" s="51"/>
      <c r="G236" s="52"/>
      <c r="H236" s="53" t="str">
        <f t="shared" si="1"/>
        <v/>
      </c>
    </row>
    <row r="237">
      <c r="A237" s="47"/>
      <c r="C237" s="48"/>
      <c r="D237" s="49"/>
      <c r="E237" s="50"/>
      <c r="F237" s="51"/>
      <c r="G237" s="52"/>
      <c r="H237" s="53" t="str">
        <f t="shared" si="1"/>
        <v/>
      </c>
    </row>
    <row r="238">
      <c r="A238" s="47"/>
      <c r="C238" s="48"/>
      <c r="D238" s="49"/>
      <c r="E238" s="50"/>
      <c r="F238" s="51"/>
      <c r="G238" s="52"/>
      <c r="H238" s="53" t="str">
        <f t="shared" si="1"/>
        <v/>
      </c>
    </row>
    <row r="239">
      <c r="A239" s="47"/>
      <c r="C239" s="48"/>
      <c r="D239" s="49"/>
      <c r="E239" s="50"/>
      <c r="F239" s="51"/>
      <c r="G239" s="52"/>
      <c r="H239" s="53" t="str">
        <f t="shared" si="1"/>
        <v/>
      </c>
    </row>
    <row r="240">
      <c r="A240" s="47"/>
      <c r="C240" s="48"/>
      <c r="D240" s="49"/>
      <c r="E240" s="50"/>
      <c r="F240" s="51"/>
      <c r="G240" s="52"/>
      <c r="H240" s="53" t="str">
        <f t="shared" si="1"/>
        <v/>
      </c>
    </row>
    <row r="241">
      <c r="A241" s="47"/>
      <c r="C241" s="48"/>
      <c r="D241" s="49"/>
      <c r="E241" s="50"/>
      <c r="F241" s="51"/>
      <c r="G241" s="52"/>
      <c r="H241" s="53" t="str">
        <f t="shared" si="1"/>
        <v/>
      </c>
    </row>
    <row r="242">
      <c r="A242" s="47"/>
      <c r="C242" s="48"/>
      <c r="D242" s="49"/>
      <c r="E242" s="50"/>
      <c r="F242" s="51"/>
      <c r="G242" s="52"/>
      <c r="H242" s="53" t="str">
        <f t="shared" si="1"/>
        <v/>
      </c>
    </row>
    <row r="243">
      <c r="A243" s="47"/>
      <c r="C243" s="48"/>
      <c r="D243" s="49"/>
      <c r="E243" s="50"/>
      <c r="F243" s="51"/>
      <c r="G243" s="52"/>
      <c r="H243" s="53" t="str">
        <f t="shared" si="1"/>
        <v/>
      </c>
    </row>
    <row r="244">
      <c r="A244" s="47"/>
      <c r="C244" s="48"/>
      <c r="D244" s="49"/>
      <c r="E244" s="50"/>
      <c r="F244" s="51"/>
      <c r="G244" s="52"/>
      <c r="H244" s="53" t="str">
        <f t="shared" si="1"/>
        <v/>
      </c>
    </row>
    <row r="245">
      <c r="A245" s="47"/>
      <c r="C245" s="48"/>
      <c r="D245" s="49"/>
      <c r="E245" s="50"/>
      <c r="F245" s="51"/>
      <c r="G245" s="52"/>
      <c r="H245" s="53" t="str">
        <f t="shared" si="1"/>
        <v/>
      </c>
    </row>
    <row r="246">
      <c r="A246" s="47"/>
      <c r="C246" s="48"/>
      <c r="D246" s="49"/>
      <c r="E246" s="50"/>
      <c r="F246" s="51"/>
      <c r="G246" s="52"/>
      <c r="H246" s="53" t="str">
        <f t="shared" si="1"/>
        <v/>
      </c>
    </row>
    <row r="247">
      <c r="A247" s="47"/>
      <c r="C247" s="48"/>
      <c r="D247" s="49"/>
      <c r="E247" s="50"/>
      <c r="F247" s="51"/>
      <c r="G247" s="52"/>
      <c r="H247" s="53" t="str">
        <f t="shared" si="1"/>
        <v/>
      </c>
    </row>
    <row r="248">
      <c r="A248" s="47"/>
      <c r="C248" s="48"/>
      <c r="D248" s="49"/>
      <c r="E248" s="50"/>
      <c r="F248" s="51"/>
      <c r="G248" s="52"/>
      <c r="H248" s="53" t="str">
        <f t="shared" si="1"/>
        <v/>
      </c>
    </row>
    <row r="249">
      <c r="A249" s="47"/>
      <c r="C249" s="48"/>
      <c r="D249" s="49"/>
      <c r="E249" s="50"/>
      <c r="F249" s="51"/>
      <c r="G249" s="52"/>
      <c r="H249" s="53" t="str">
        <f t="shared" si="1"/>
        <v/>
      </c>
    </row>
    <row r="250">
      <c r="A250" s="47"/>
      <c r="C250" s="48"/>
      <c r="D250" s="49"/>
      <c r="E250" s="50"/>
      <c r="F250" s="51"/>
      <c r="G250" s="52"/>
      <c r="H250" s="53" t="str">
        <f t="shared" si="1"/>
        <v/>
      </c>
    </row>
    <row r="251">
      <c r="A251" s="47"/>
      <c r="C251" s="48"/>
      <c r="D251" s="49"/>
      <c r="E251" s="50"/>
      <c r="F251" s="51"/>
      <c r="G251" s="52"/>
      <c r="H251" s="53" t="str">
        <f t="shared" si="1"/>
        <v/>
      </c>
    </row>
    <row r="252">
      <c r="A252" s="47"/>
      <c r="C252" s="48"/>
      <c r="D252" s="49"/>
      <c r="E252" s="50"/>
      <c r="F252" s="51"/>
      <c r="G252" s="52"/>
      <c r="H252" s="53" t="str">
        <f t="shared" si="1"/>
        <v/>
      </c>
    </row>
    <row r="253">
      <c r="A253" s="47"/>
      <c r="C253" s="48"/>
      <c r="D253" s="49"/>
      <c r="E253" s="50"/>
      <c r="F253" s="51"/>
      <c r="G253" s="52"/>
      <c r="H253" s="53" t="str">
        <f t="shared" si="1"/>
        <v/>
      </c>
    </row>
    <row r="254">
      <c r="A254" s="47"/>
      <c r="C254" s="48"/>
      <c r="D254" s="49"/>
      <c r="E254" s="50"/>
      <c r="F254" s="51"/>
      <c r="G254" s="52"/>
      <c r="H254" s="53" t="str">
        <f t="shared" si="1"/>
        <v/>
      </c>
    </row>
    <row r="255">
      <c r="A255" s="47"/>
      <c r="C255" s="48"/>
      <c r="D255" s="49"/>
      <c r="E255" s="50"/>
      <c r="F255" s="51"/>
      <c r="G255" s="52"/>
      <c r="H255" s="53" t="str">
        <f t="shared" si="1"/>
        <v/>
      </c>
    </row>
    <row r="256">
      <c r="A256" s="47"/>
      <c r="C256" s="48"/>
      <c r="D256" s="49"/>
      <c r="E256" s="50"/>
      <c r="F256" s="51"/>
      <c r="G256" s="52"/>
      <c r="H256" s="53" t="str">
        <f t="shared" si="1"/>
        <v/>
      </c>
    </row>
    <row r="257">
      <c r="A257" s="47"/>
      <c r="C257" s="48"/>
      <c r="D257" s="49"/>
      <c r="E257" s="50"/>
      <c r="F257" s="51"/>
      <c r="G257" s="52"/>
      <c r="H257" s="53" t="str">
        <f t="shared" si="1"/>
        <v/>
      </c>
    </row>
    <row r="258">
      <c r="A258" s="47"/>
      <c r="C258" s="48"/>
      <c r="D258" s="49"/>
      <c r="E258" s="50"/>
      <c r="F258" s="51"/>
      <c r="G258" s="52"/>
      <c r="H258" s="53" t="str">
        <f t="shared" si="1"/>
        <v/>
      </c>
    </row>
    <row r="259">
      <c r="A259" s="47"/>
      <c r="C259" s="48"/>
      <c r="D259" s="49"/>
      <c r="E259" s="50"/>
      <c r="F259" s="51"/>
      <c r="G259" s="52"/>
      <c r="H259" s="53" t="str">
        <f t="shared" si="1"/>
        <v/>
      </c>
    </row>
    <row r="260">
      <c r="A260" s="47"/>
      <c r="C260" s="48"/>
      <c r="D260" s="49"/>
      <c r="E260" s="50"/>
      <c r="F260" s="51"/>
      <c r="G260" s="52"/>
      <c r="H260" s="53" t="str">
        <f t="shared" si="1"/>
        <v/>
      </c>
    </row>
    <row r="261">
      <c r="A261" s="47"/>
      <c r="C261" s="48"/>
      <c r="D261" s="49"/>
      <c r="E261" s="50"/>
      <c r="F261" s="51"/>
      <c r="G261" s="52"/>
      <c r="H261" s="53" t="str">
        <f t="shared" si="1"/>
        <v/>
      </c>
    </row>
    <row r="262">
      <c r="A262" s="47"/>
      <c r="C262" s="48"/>
      <c r="D262" s="49"/>
      <c r="E262" s="50"/>
      <c r="F262" s="51"/>
      <c r="G262" s="52"/>
      <c r="H262" s="53" t="str">
        <f t="shared" si="1"/>
        <v/>
      </c>
    </row>
    <row r="263">
      <c r="A263" s="47"/>
      <c r="C263" s="48"/>
      <c r="D263" s="49"/>
      <c r="E263" s="50"/>
      <c r="F263" s="51"/>
      <c r="G263" s="52"/>
      <c r="H263" s="53" t="str">
        <f t="shared" si="1"/>
        <v/>
      </c>
    </row>
    <row r="264">
      <c r="A264" s="47"/>
      <c r="C264" s="48"/>
      <c r="D264" s="49"/>
      <c r="E264" s="50"/>
      <c r="F264" s="51"/>
      <c r="G264" s="52"/>
      <c r="H264" s="53" t="str">
        <f t="shared" si="1"/>
        <v/>
      </c>
    </row>
    <row r="265">
      <c r="A265" s="47"/>
      <c r="C265" s="48"/>
      <c r="D265" s="49"/>
      <c r="E265" s="50"/>
      <c r="F265" s="51"/>
      <c r="G265" s="52"/>
      <c r="H265" s="53" t="str">
        <f t="shared" si="1"/>
        <v/>
      </c>
    </row>
    <row r="266">
      <c r="A266" s="47"/>
      <c r="C266" s="48"/>
      <c r="D266" s="49"/>
      <c r="E266" s="50"/>
      <c r="F266" s="51"/>
      <c r="G266" s="52"/>
      <c r="H266" s="53" t="str">
        <f t="shared" si="1"/>
        <v/>
      </c>
    </row>
    <row r="267">
      <c r="A267" s="47"/>
      <c r="C267" s="48"/>
      <c r="D267" s="49"/>
      <c r="E267" s="50"/>
      <c r="F267" s="51"/>
      <c r="G267" s="52"/>
      <c r="H267" s="53" t="str">
        <f t="shared" si="1"/>
        <v/>
      </c>
    </row>
    <row r="268">
      <c r="A268" s="47"/>
      <c r="C268" s="48"/>
      <c r="D268" s="49"/>
      <c r="E268" s="50"/>
      <c r="F268" s="51"/>
      <c r="G268" s="52"/>
      <c r="H268" s="53" t="str">
        <f t="shared" si="1"/>
        <v/>
      </c>
    </row>
    <row r="269">
      <c r="A269" s="47"/>
      <c r="C269" s="48"/>
      <c r="D269" s="49"/>
      <c r="E269" s="50"/>
      <c r="F269" s="51"/>
      <c r="G269" s="52"/>
      <c r="H269" s="53" t="str">
        <f t="shared" si="1"/>
        <v/>
      </c>
    </row>
    <row r="270">
      <c r="A270" s="47"/>
      <c r="C270" s="48"/>
      <c r="D270" s="49"/>
      <c r="E270" s="50"/>
      <c r="F270" s="51"/>
      <c r="G270" s="52"/>
      <c r="H270" s="53" t="str">
        <f t="shared" si="1"/>
        <v/>
      </c>
    </row>
    <row r="271">
      <c r="A271" s="47"/>
      <c r="C271" s="48"/>
      <c r="D271" s="49"/>
      <c r="E271" s="50"/>
      <c r="F271" s="51"/>
      <c r="G271" s="52"/>
      <c r="H271" s="53" t="str">
        <f t="shared" si="1"/>
        <v/>
      </c>
    </row>
    <row r="272">
      <c r="A272" s="47"/>
      <c r="C272" s="48"/>
      <c r="D272" s="49"/>
      <c r="E272" s="50"/>
      <c r="F272" s="51"/>
      <c r="G272" s="52"/>
      <c r="H272" s="53" t="str">
        <f t="shared" si="1"/>
        <v/>
      </c>
    </row>
    <row r="273">
      <c r="A273" s="47"/>
      <c r="C273" s="48"/>
      <c r="D273" s="49"/>
      <c r="E273" s="50"/>
      <c r="F273" s="51"/>
      <c r="G273" s="52"/>
      <c r="H273" s="53" t="str">
        <f t="shared" si="1"/>
        <v/>
      </c>
    </row>
    <row r="274">
      <c r="A274" s="47"/>
      <c r="C274" s="48"/>
      <c r="D274" s="49"/>
      <c r="E274" s="50"/>
      <c r="F274" s="51"/>
      <c r="G274" s="52"/>
      <c r="H274" s="53" t="str">
        <f t="shared" si="1"/>
        <v/>
      </c>
    </row>
    <row r="275">
      <c r="A275" s="47"/>
      <c r="C275" s="48"/>
      <c r="D275" s="49"/>
      <c r="E275" s="50"/>
      <c r="F275" s="51"/>
      <c r="G275" s="52"/>
      <c r="H275" s="53" t="str">
        <f t="shared" si="1"/>
        <v/>
      </c>
    </row>
    <row r="276">
      <c r="A276" s="47"/>
      <c r="C276" s="48"/>
      <c r="D276" s="49"/>
      <c r="E276" s="50"/>
      <c r="F276" s="51"/>
      <c r="G276" s="52"/>
      <c r="H276" s="53" t="str">
        <f t="shared" si="1"/>
        <v/>
      </c>
    </row>
    <row r="277">
      <c r="A277" s="47"/>
      <c r="C277" s="48"/>
      <c r="D277" s="49"/>
      <c r="E277" s="50"/>
      <c r="F277" s="51"/>
      <c r="G277" s="52"/>
      <c r="H277" s="53" t="str">
        <f t="shared" si="1"/>
        <v/>
      </c>
    </row>
    <row r="278">
      <c r="A278" s="47"/>
      <c r="C278" s="48"/>
      <c r="D278" s="49"/>
      <c r="E278" s="50"/>
      <c r="F278" s="51"/>
      <c r="G278" s="52"/>
      <c r="H278" s="53" t="str">
        <f t="shared" si="1"/>
        <v/>
      </c>
    </row>
    <row r="279">
      <c r="A279" s="47"/>
      <c r="C279" s="48"/>
      <c r="D279" s="49"/>
      <c r="E279" s="50"/>
      <c r="F279" s="51"/>
      <c r="G279" s="52"/>
      <c r="H279" s="53" t="str">
        <f t="shared" si="1"/>
        <v/>
      </c>
    </row>
    <row r="280">
      <c r="A280" s="47"/>
      <c r="C280" s="48"/>
      <c r="D280" s="49"/>
      <c r="E280" s="50"/>
      <c r="F280" s="51"/>
      <c r="G280" s="52"/>
      <c r="H280" s="53" t="str">
        <f t="shared" si="1"/>
        <v/>
      </c>
    </row>
    <row r="281">
      <c r="A281" s="47"/>
      <c r="C281" s="48"/>
      <c r="D281" s="49"/>
      <c r="E281" s="50"/>
      <c r="F281" s="51"/>
      <c r="G281" s="52"/>
      <c r="H281" s="53" t="str">
        <f t="shared" si="1"/>
        <v/>
      </c>
    </row>
    <row r="282">
      <c r="A282" s="47"/>
      <c r="C282" s="48"/>
      <c r="D282" s="49"/>
      <c r="E282" s="50"/>
      <c r="F282" s="51"/>
      <c r="G282" s="52"/>
      <c r="H282" s="53" t="str">
        <f t="shared" si="1"/>
        <v/>
      </c>
    </row>
    <row r="283">
      <c r="A283" s="47"/>
      <c r="C283" s="48"/>
      <c r="D283" s="49"/>
      <c r="E283" s="50"/>
      <c r="F283" s="51"/>
      <c r="G283" s="52"/>
      <c r="H283" s="53" t="str">
        <f t="shared" si="1"/>
        <v/>
      </c>
    </row>
    <row r="284">
      <c r="A284" s="47"/>
      <c r="C284" s="48"/>
      <c r="D284" s="49"/>
      <c r="E284" s="50"/>
      <c r="F284" s="51"/>
      <c r="G284" s="52"/>
      <c r="H284" s="53" t="str">
        <f t="shared" si="1"/>
        <v/>
      </c>
    </row>
    <row r="285">
      <c r="A285" s="47"/>
      <c r="C285" s="48"/>
      <c r="D285" s="49"/>
      <c r="E285" s="50"/>
      <c r="F285" s="51"/>
      <c r="G285" s="52"/>
      <c r="H285" s="53" t="str">
        <f t="shared" si="1"/>
        <v/>
      </c>
    </row>
    <row r="286">
      <c r="A286" s="47"/>
      <c r="C286" s="48"/>
      <c r="D286" s="49"/>
      <c r="E286" s="50"/>
      <c r="F286" s="51"/>
      <c r="G286" s="52"/>
      <c r="H286" s="53" t="str">
        <f t="shared" si="1"/>
        <v/>
      </c>
    </row>
    <row r="287">
      <c r="A287" s="47"/>
      <c r="C287" s="48"/>
      <c r="D287" s="49"/>
      <c r="E287" s="50"/>
      <c r="F287" s="51"/>
      <c r="G287" s="52"/>
      <c r="H287" s="53" t="str">
        <f t="shared" si="1"/>
        <v/>
      </c>
    </row>
    <row r="288">
      <c r="A288" s="47"/>
      <c r="C288" s="48"/>
      <c r="D288" s="49"/>
      <c r="E288" s="50"/>
      <c r="F288" s="51"/>
      <c r="G288" s="52"/>
      <c r="H288" s="53" t="str">
        <f t="shared" si="1"/>
        <v/>
      </c>
    </row>
    <row r="289">
      <c r="A289" s="47"/>
      <c r="C289" s="48"/>
      <c r="D289" s="49"/>
      <c r="E289" s="50"/>
      <c r="F289" s="51"/>
      <c r="G289" s="52"/>
      <c r="H289" s="53" t="str">
        <f t="shared" si="1"/>
        <v/>
      </c>
    </row>
    <row r="290">
      <c r="A290" s="47"/>
      <c r="C290" s="48"/>
      <c r="D290" s="49"/>
      <c r="E290" s="50"/>
      <c r="F290" s="51"/>
      <c r="G290" s="52"/>
      <c r="H290" s="53" t="str">
        <f t="shared" si="1"/>
        <v/>
      </c>
    </row>
    <row r="291">
      <c r="A291" s="47"/>
      <c r="C291" s="48"/>
      <c r="D291" s="49"/>
      <c r="E291" s="50"/>
      <c r="F291" s="51"/>
      <c r="G291" s="52"/>
      <c r="H291" s="53" t="str">
        <f t="shared" si="1"/>
        <v/>
      </c>
    </row>
    <row r="292">
      <c r="A292" s="47"/>
      <c r="C292" s="48"/>
      <c r="D292" s="49"/>
      <c r="E292" s="50"/>
      <c r="F292" s="51"/>
      <c r="G292" s="52"/>
      <c r="H292" s="53" t="str">
        <f t="shared" si="1"/>
        <v/>
      </c>
    </row>
    <row r="293">
      <c r="A293" s="47"/>
      <c r="C293" s="48"/>
      <c r="D293" s="49"/>
      <c r="E293" s="50"/>
      <c r="F293" s="51"/>
      <c r="G293" s="52"/>
      <c r="H293" s="53" t="str">
        <f t="shared" si="1"/>
        <v/>
      </c>
    </row>
    <row r="294">
      <c r="A294" s="47"/>
      <c r="C294" s="48"/>
      <c r="D294" s="49"/>
      <c r="E294" s="50"/>
      <c r="F294" s="51"/>
      <c r="G294" s="52"/>
      <c r="H294" s="53" t="str">
        <f t="shared" si="1"/>
        <v/>
      </c>
    </row>
    <row r="295">
      <c r="A295" s="47"/>
      <c r="C295" s="48"/>
      <c r="D295" s="49"/>
      <c r="E295" s="50"/>
      <c r="F295" s="51"/>
      <c r="G295" s="52"/>
      <c r="H295" s="53" t="str">
        <f t="shared" si="1"/>
        <v/>
      </c>
    </row>
    <row r="296">
      <c r="A296" s="47"/>
      <c r="C296" s="48"/>
      <c r="D296" s="49"/>
      <c r="E296" s="50"/>
      <c r="F296" s="51"/>
      <c r="G296" s="52"/>
      <c r="H296" s="53" t="str">
        <f t="shared" si="1"/>
        <v/>
      </c>
    </row>
    <row r="297">
      <c r="A297" s="47"/>
      <c r="C297" s="48"/>
      <c r="D297" s="49"/>
      <c r="E297" s="50"/>
      <c r="F297" s="51"/>
      <c r="G297" s="52"/>
      <c r="H297" s="53" t="str">
        <f t="shared" si="1"/>
        <v/>
      </c>
    </row>
    <row r="298">
      <c r="A298" s="47"/>
      <c r="C298" s="48"/>
      <c r="D298" s="49"/>
      <c r="E298" s="50"/>
      <c r="F298" s="51"/>
      <c r="G298" s="52"/>
      <c r="H298" s="53" t="str">
        <f t="shared" si="1"/>
        <v/>
      </c>
    </row>
    <row r="299">
      <c r="A299" s="47"/>
      <c r="C299" s="48"/>
      <c r="D299" s="49"/>
      <c r="E299" s="50"/>
      <c r="F299" s="51"/>
      <c r="G299" s="52"/>
      <c r="H299" s="53" t="str">
        <f t="shared" si="1"/>
        <v/>
      </c>
    </row>
    <row r="300">
      <c r="A300" s="47"/>
      <c r="C300" s="48"/>
      <c r="D300" s="49"/>
      <c r="E300" s="50"/>
      <c r="F300" s="51"/>
      <c r="G300" s="52"/>
      <c r="H300" s="53" t="str">
        <f t="shared" si="1"/>
        <v/>
      </c>
    </row>
    <row r="301">
      <c r="A301" s="47"/>
      <c r="C301" s="48"/>
      <c r="D301" s="49"/>
      <c r="E301" s="50"/>
      <c r="F301" s="51"/>
      <c r="G301" s="52"/>
      <c r="H301" s="53" t="str">
        <f t="shared" si="1"/>
        <v/>
      </c>
    </row>
    <row r="302">
      <c r="A302" s="47"/>
      <c r="C302" s="48"/>
      <c r="D302" s="49"/>
      <c r="E302" s="50"/>
      <c r="F302" s="51"/>
      <c r="G302" s="52"/>
      <c r="H302" s="53" t="str">
        <f t="shared" si="1"/>
        <v/>
      </c>
    </row>
    <row r="303">
      <c r="A303" s="47"/>
      <c r="C303" s="48"/>
      <c r="D303" s="49"/>
      <c r="E303" s="50"/>
      <c r="F303" s="51"/>
      <c r="G303" s="52"/>
      <c r="H303" s="53" t="str">
        <f t="shared" si="1"/>
        <v/>
      </c>
    </row>
    <row r="304">
      <c r="A304" s="47"/>
      <c r="C304" s="48"/>
      <c r="D304" s="49"/>
      <c r="E304" s="50"/>
      <c r="F304" s="51"/>
      <c r="G304" s="52"/>
      <c r="H304" s="53" t="str">
        <f t="shared" si="1"/>
        <v/>
      </c>
    </row>
    <row r="305">
      <c r="A305" s="47"/>
      <c r="C305" s="48"/>
      <c r="D305" s="49"/>
      <c r="E305" s="50"/>
      <c r="F305" s="51"/>
      <c r="G305" s="52"/>
      <c r="H305" s="53" t="str">
        <f t="shared" si="1"/>
        <v/>
      </c>
    </row>
    <row r="306">
      <c r="A306" s="47"/>
      <c r="C306" s="48"/>
      <c r="D306" s="49"/>
      <c r="E306" s="50"/>
      <c r="F306" s="51"/>
      <c r="G306" s="52"/>
      <c r="H306" s="53" t="str">
        <f t="shared" si="1"/>
        <v/>
      </c>
    </row>
    <row r="307">
      <c r="A307" s="47"/>
      <c r="C307" s="48"/>
      <c r="D307" s="49"/>
      <c r="E307" s="50"/>
      <c r="F307" s="51"/>
      <c r="G307" s="52"/>
      <c r="H307" s="53" t="str">
        <f t="shared" si="1"/>
        <v/>
      </c>
    </row>
    <row r="308">
      <c r="A308" s="47"/>
      <c r="C308" s="48"/>
      <c r="D308" s="49"/>
      <c r="E308" s="50"/>
      <c r="F308" s="51"/>
      <c r="G308" s="52"/>
      <c r="H308" s="53" t="str">
        <f t="shared" si="1"/>
        <v/>
      </c>
    </row>
    <row r="309">
      <c r="A309" s="47"/>
      <c r="C309" s="48"/>
      <c r="D309" s="49"/>
      <c r="E309" s="50"/>
      <c r="F309" s="51"/>
      <c r="G309" s="52"/>
      <c r="H309" s="53" t="str">
        <f t="shared" si="1"/>
        <v/>
      </c>
    </row>
    <row r="310">
      <c r="A310" s="47"/>
      <c r="C310" s="48"/>
      <c r="D310" s="49"/>
      <c r="E310" s="50"/>
      <c r="F310" s="51"/>
      <c r="G310" s="52"/>
      <c r="H310" s="53" t="str">
        <f t="shared" si="1"/>
        <v/>
      </c>
    </row>
    <row r="311">
      <c r="A311" s="47"/>
      <c r="C311" s="48"/>
      <c r="D311" s="49"/>
      <c r="E311" s="50"/>
      <c r="F311" s="51"/>
      <c r="G311" s="52"/>
      <c r="H311" s="53" t="str">
        <f t="shared" si="1"/>
        <v/>
      </c>
    </row>
    <row r="312">
      <c r="A312" s="47"/>
      <c r="C312" s="48"/>
      <c r="D312" s="49"/>
      <c r="E312" s="50"/>
      <c r="F312" s="51"/>
      <c r="G312" s="52"/>
      <c r="H312" s="53" t="str">
        <f t="shared" si="1"/>
        <v/>
      </c>
    </row>
    <row r="313">
      <c r="A313" s="47"/>
      <c r="C313" s="48"/>
      <c r="D313" s="49"/>
      <c r="E313" s="50"/>
      <c r="F313" s="51"/>
      <c r="G313" s="52"/>
      <c r="H313" s="53" t="str">
        <f t="shared" si="1"/>
        <v/>
      </c>
    </row>
    <row r="314">
      <c r="A314" s="47"/>
      <c r="C314" s="48"/>
      <c r="D314" s="49"/>
      <c r="E314" s="50"/>
      <c r="F314" s="51"/>
      <c r="G314" s="52"/>
      <c r="H314" s="53" t="str">
        <f t="shared" si="1"/>
        <v/>
      </c>
    </row>
    <row r="315">
      <c r="A315" s="47"/>
      <c r="C315" s="48"/>
      <c r="D315" s="49"/>
      <c r="E315" s="50"/>
      <c r="F315" s="51"/>
      <c r="G315" s="52"/>
      <c r="H315" s="53" t="str">
        <f t="shared" si="1"/>
        <v/>
      </c>
    </row>
    <row r="316">
      <c r="A316" s="47"/>
      <c r="C316" s="48"/>
      <c r="D316" s="49"/>
      <c r="E316" s="50"/>
      <c r="F316" s="51"/>
      <c r="G316" s="52"/>
      <c r="H316" s="53" t="str">
        <f t="shared" si="1"/>
        <v/>
      </c>
    </row>
    <row r="317">
      <c r="A317" s="47"/>
      <c r="C317" s="48"/>
      <c r="D317" s="49"/>
      <c r="E317" s="50"/>
      <c r="F317" s="51"/>
      <c r="G317" s="52"/>
      <c r="H317" s="53" t="str">
        <f t="shared" si="1"/>
        <v/>
      </c>
    </row>
    <row r="318">
      <c r="A318" s="47"/>
      <c r="C318" s="48"/>
      <c r="D318" s="49"/>
      <c r="E318" s="50"/>
      <c r="F318" s="51"/>
      <c r="G318" s="52"/>
      <c r="H318" s="53" t="str">
        <f t="shared" si="1"/>
        <v/>
      </c>
    </row>
    <row r="319">
      <c r="A319" s="47"/>
      <c r="C319" s="48"/>
      <c r="D319" s="49"/>
      <c r="E319" s="50"/>
      <c r="F319" s="51"/>
      <c r="G319" s="52"/>
      <c r="H319" s="53" t="str">
        <f t="shared" si="1"/>
        <v/>
      </c>
    </row>
    <row r="320">
      <c r="A320" s="47"/>
      <c r="C320" s="48"/>
      <c r="D320" s="49"/>
      <c r="E320" s="50"/>
      <c r="F320" s="51"/>
      <c r="G320" s="52"/>
      <c r="H320" s="53" t="str">
        <f t="shared" si="1"/>
        <v/>
      </c>
    </row>
    <row r="321">
      <c r="A321" s="47"/>
      <c r="C321" s="48"/>
      <c r="D321" s="49"/>
      <c r="E321" s="50"/>
      <c r="F321" s="51"/>
      <c r="G321" s="52"/>
      <c r="H321" s="53" t="str">
        <f t="shared" si="1"/>
        <v/>
      </c>
    </row>
    <row r="322">
      <c r="A322" s="47"/>
      <c r="C322" s="48"/>
      <c r="D322" s="49"/>
      <c r="E322" s="50"/>
      <c r="F322" s="51"/>
      <c r="G322" s="52"/>
      <c r="H322" s="53" t="str">
        <f t="shared" si="1"/>
        <v/>
      </c>
    </row>
    <row r="323">
      <c r="A323" s="47"/>
      <c r="C323" s="48"/>
      <c r="D323" s="49"/>
      <c r="E323" s="50"/>
      <c r="F323" s="51"/>
      <c r="G323" s="52"/>
      <c r="H323" s="53" t="str">
        <f t="shared" si="1"/>
        <v/>
      </c>
    </row>
    <row r="324">
      <c r="A324" s="47"/>
      <c r="C324" s="48"/>
      <c r="D324" s="49"/>
      <c r="E324" s="50"/>
      <c r="F324" s="51"/>
      <c r="G324" s="52"/>
      <c r="H324" s="53" t="str">
        <f t="shared" si="1"/>
        <v/>
      </c>
    </row>
    <row r="325">
      <c r="A325" s="47"/>
      <c r="C325" s="48"/>
      <c r="D325" s="49"/>
      <c r="E325" s="50"/>
      <c r="F325" s="51"/>
      <c r="G325" s="52"/>
      <c r="H325" s="53" t="str">
        <f t="shared" si="1"/>
        <v/>
      </c>
    </row>
    <row r="326">
      <c r="A326" s="47"/>
      <c r="C326" s="48"/>
      <c r="D326" s="49"/>
      <c r="E326" s="50"/>
      <c r="F326" s="51"/>
      <c r="G326" s="52"/>
      <c r="H326" s="53" t="str">
        <f t="shared" si="1"/>
        <v/>
      </c>
    </row>
    <row r="327">
      <c r="A327" s="47"/>
      <c r="C327" s="48"/>
      <c r="D327" s="49"/>
      <c r="E327" s="50"/>
      <c r="F327" s="51"/>
      <c r="G327" s="52"/>
      <c r="H327" s="53" t="str">
        <f t="shared" si="1"/>
        <v/>
      </c>
    </row>
    <row r="328">
      <c r="A328" s="47"/>
      <c r="C328" s="48"/>
      <c r="D328" s="49"/>
      <c r="E328" s="50"/>
      <c r="F328" s="51"/>
      <c r="G328" s="52"/>
      <c r="H328" s="53" t="str">
        <f t="shared" si="1"/>
        <v/>
      </c>
    </row>
    <row r="329">
      <c r="A329" s="47"/>
      <c r="C329" s="48"/>
      <c r="D329" s="49"/>
      <c r="E329" s="50"/>
      <c r="F329" s="51"/>
      <c r="G329" s="52"/>
      <c r="H329" s="53" t="str">
        <f t="shared" si="1"/>
        <v/>
      </c>
    </row>
    <row r="330">
      <c r="A330" s="47"/>
      <c r="C330" s="48"/>
      <c r="D330" s="49"/>
      <c r="E330" s="50"/>
      <c r="F330" s="51"/>
      <c r="G330" s="52"/>
      <c r="H330" s="53" t="str">
        <f t="shared" si="1"/>
        <v/>
      </c>
    </row>
    <row r="331">
      <c r="A331" s="47"/>
      <c r="C331" s="48"/>
      <c r="D331" s="49"/>
      <c r="E331" s="50"/>
      <c r="F331" s="51"/>
      <c r="G331" s="52"/>
      <c r="H331" s="53" t="str">
        <f t="shared" si="1"/>
        <v/>
      </c>
    </row>
    <row r="332">
      <c r="A332" s="47"/>
      <c r="C332" s="48"/>
      <c r="D332" s="49"/>
      <c r="E332" s="50"/>
      <c r="F332" s="51"/>
      <c r="G332" s="52"/>
      <c r="H332" s="53" t="str">
        <f t="shared" si="1"/>
        <v/>
      </c>
    </row>
    <row r="333">
      <c r="A333" s="47"/>
      <c r="C333" s="48"/>
      <c r="D333" s="49"/>
      <c r="E333" s="50"/>
      <c r="F333" s="51"/>
      <c r="G333" s="52"/>
      <c r="H333" s="53" t="str">
        <f t="shared" si="1"/>
        <v/>
      </c>
    </row>
    <row r="334">
      <c r="A334" s="47"/>
      <c r="C334" s="48"/>
      <c r="D334" s="49"/>
      <c r="E334" s="50"/>
      <c r="F334" s="51"/>
      <c r="G334" s="52"/>
      <c r="H334" s="53" t="str">
        <f t="shared" si="1"/>
        <v/>
      </c>
    </row>
    <row r="335">
      <c r="A335" s="47"/>
      <c r="C335" s="48"/>
      <c r="D335" s="49"/>
      <c r="E335" s="50"/>
      <c r="F335" s="51"/>
      <c r="G335" s="52"/>
      <c r="H335" s="53" t="str">
        <f t="shared" si="1"/>
        <v/>
      </c>
    </row>
    <row r="336">
      <c r="A336" s="47"/>
      <c r="C336" s="48"/>
      <c r="D336" s="49"/>
      <c r="E336" s="50"/>
      <c r="F336" s="51"/>
      <c r="G336" s="52"/>
      <c r="H336" s="53" t="str">
        <f t="shared" si="1"/>
        <v/>
      </c>
    </row>
    <row r="337">
      <c r="A337" s="47"/>
      <c r="C337" s="48"/>
      <c r="D337" s="49"/>
      <c r="E337" s="50"/>
      <c r="F337" s="51"/>
      <c r="G337" s="52"/>
      <c r="H337" s="53" t="str">
        <f t="shared" si="1"/>
        <v/>
      </c>
    </row>
    <row r="338">
      <c r="A338" s="47"/>
      <c r="C338" s="48"/>
      <c r="D338" s="49"/>
      <c r="E338" s="50"/>
      <c r="F338" s="51"/>
      <c r="G338" s="52"/>
      <c r="H338" s="53" t="str">
        <f t="shared" si="1"/>
        <v/>
      </c>
    </row>
    <row r="339">
      <c r="A339" s="47"/>
      <c r="C339" s="48"/>
      <c r="D339" s="49"/>
      <c r="E339" s="50"/>
      <c r="F339" s="51"/>
      <c r="G339" s="52"/>
      <c r="H339" s="53" t="str">
        <f t="shared" si="1"/>
        <v/>
      </c>
    </row>
    <row r="340">
      <c r="A340" s="47"/>
      <c r="C340" s="48"/>
      <c r="D340" s="49"/>
      <c r="E340" s="50"/>
      <c r="F340" s="51"/>
      <c r="G340" s="52"/>
      <c r="H340" s="53" t="str">
        <f t="shared" si="1"/>
        <v/>
      </c>
    </row>
    <row r="341">
      <c r="A341" s="47"/>
      <c r="C341" s="48"/>
      <c r="D341" s="49"/>
      <c r="E341" s="50"/>
      <c r="F341" s="51"/>
      <c r="G341" s="52"/>
      <c r="H341" s="53" t="str">
        <f t="shared" si="1"/>
        <v/>
      </c>
    </row>
    <row r="342">
      <c r="A342" s="47"/>
      <c r="C342" s="48"/>
      <c r="D342" s="49"/>
      <c r="E342" s="50"/>
      <c r="F342" s="51"/>
      <c r="G342" s="52"/>
      <c r="H342" s="53" t="str">
        <f t="shared" si="1"/>
        <v/>
      </c>
    </row>
    <row r="343">
      <c r="A343" s="47"/>
      <c r="C343" s="48"/>
      <c r="D343" s="49"/>
      <c r="E343" s="50"/>
      <c r="F343" s="51"/>
      <c r="G343" s="52"/>
      <c r="H343" s="53" t="str">
        <f t="shared" si="1"/>
        <v/>
      </c>
    </row>
    <row r="344">
      <c r="A344" s="47"/>
      <c r="C344" s="48"/>
      <c r="D344" s="49"/>
      <c r="E344" s="50"/>
      <c r="F344" s="51"/>
      <c r="G344" s="52"/>
      <c r="H344" s="53" t="str">
        <f t="shared" si="1"/>
        <v/>
      </c>
    </row>
    <row r="345">
      <c r="A345" s="47"/>
      <c r="C345" s="48"/>
      <c r="D345" s="49"/>
      <c r="E345" s="50"/>
      <c r="F345" s="51"/>
      <c r="G345" s="52"/>
      <c r="H345" s="53" t="str">
        <f t="shared" si="1"/>
        <v/>
      </c>
    </row>
    <row r="346">
      <c r="A346" s="47"/>
      <c r="C346" s="48"/>
      <c r="D346" s="49"/>
      <c r="E346" s="50"/>
      <c r="F346" s="51"/>
      <c r="G346" s="52"/>
      <c r="H346" s="53" t="str">
        <f t="shared" si="1"/>
        <v/>
      </c>
    </row>
    <row r="347">
      <c r="A347" s="47"/>
      <c r="C347" s="48"/>
      <c r="D347" s="49"/>
      <c r="E347" s="50"/>
      <c r="F347" s="51"/>
      <c r="G347" s="52"/>
      <c r="H347" s="53" t="str">
        <f t="shared" si="1"/>
        <v/>
      </c>
    </row>
    <row r="348">
      <c r="A348" s="47"/>
      <c r="C348" s="48"/>
      <c r="D348" s="49"/>
      <c r="E348" s="50"/>
      <c r="F348" s="51"/>
      <c r="G348" s="52"/>
      <c r="H348" s="53" t="str">
        <f t="shared" si="1"/>
        <v/>
      </c>
    </row>
    <row r="349">
      <c r="A349" s="47"/>
      <c r="C349" s="48"/>
      <c r="D349" s="49"/>
      <c r="E349" s="50"/>
      <c r="F349" s="51"/>
      <c r="G349" s="52"/>
      <c r="H349" s="53" t="str">
        <f t="shared" si="1"/>
        <v/>
      </c>
    </row>
    <row r="350">
      <c r="A350" s="47"/>
      <c r="C350" s="48"/>
      <c r="D350" s="49"/>
      <c r="E350" s="50"/>
      <c r="F350" s="51"/>
      <c r="G350" s="52"/>
      <c r="H350" s="53" t="str">
        <f t="shared" si="1"/>
        <v/>
      </c>
    </row>
    <row r="351">
      <c r="A351" s="47"/>
      <c r="C351" s="48"/>
      <c r="D351" s="49"/>
      <c r="E351" s="50"/>
      <c r="F351" s="51"/>
      <c r="G351" s="52"/>
      <c r="H351" s="53" t="str">
        <f t="shared" si="1"/>
        <v/>
      </c>
    </row>
    <row r="352">
      <c r="A352" s="47"/>
      <c r="C352" s="48"/>
      <c r="D352" s="49"/>
      <c r="E352" s="50"/>
      <c r="F352" s="51"/>
      <c r="G352" s="52"/>
      <c r="H352" s="53" t="str">
        <f t="shared" si="1"/>
        <v/>
      </c>
    </row>
    <row r="353">
      <c r="A353" s="47"/>
      <c r="C353" s="48"/>
      <c r="D353" s="49"/>
      <c r="E353" s="50"/>
      <c r="F353" s="51"/>
      <c r="G353" s="52"/>
      <c r="H353" s="53" t="str">
        <f t="shared" si="1"/>
        <v/>
      </c>
    </row>
    <row r="354">
      <c r="A354" s="47"/>
      <c r="C354" s="48"/>
      <c r="D354" s="49"/>
      <c r="E354" s="50"/>
      <c r="F354" s="51"/>
      <c r="G354" s="52"/>
      <c r="H354" s="53" t="str">
        <f t="shared" si="1"/>
        <v/>
      </c>
    </row>
    <row r="355">
      <c r="A355" s="47"/>
      <c r="C355" s="48"/>
      <c r="D355" s="49"/>
      <c r="E355" s="50"/>
      <c r="F355" s="51"/>
      <c r="G355" s="52"/>
      <c r="H355" s="53" t="str">
        <f t="shared" si="1"/>
        <v/>
      </c>
    </row>
    <row r="356">
      <c r="A356" s="47"/>
      <c r="C356" s="48"/>
      <c r="D356" s="49"/>
      <c r="E356" s="50"/>
      <c r="F356" s="51"/>
      <c r="G356" s="52"/>
      <c r="H356" s="53" t="str">
        <f t="shared" si="1"/>
        <v/>
      </c>
    </row>
    <row r="357">
      <c r="A357" s="47"/>
      <c r="C357" s="48"/>
      <c r="D357" s="49"/>
      <c r="E357" s="50"/>
      <c r="F357" s="51"/>
      <c r="G357" s="52"/>
      <c r="H357" s="53" t="str">
        <f t="shared" si="1"/>
        <v/>
      </c>
    </row>
    <row r="358">
      <c r="A358" s="47"/>
      <c r="C358" s="48"/>
      <c r="D358" s="49"/>
      <c r="E358" s="50"/>
      <c r="F358" s="51"/>
      <c r="G358" s="52"/>
      <c r="H358" s="53" t="str">
        <f t="shared" si="1"/>
        <v/>
      </c>
    </row>
    <row r="359">
      <c r="A359" s="47"/>
      <c r="C359" s="48"/>
      <c r="D359" s="49"/>
      <c r="E359" s="50"/>
      <c r="F359" s="51"/>
      <c r="G359" s="52"/>
      <c r="H359" s="53" t="str">
        <f t="shared" si="1"/>
        <v/>
      </c>
    </row>
    <row r="360">
      <c r="A360" s="47"/>
      <c r="C360" s="48"/>
      <c r="D360" s="49"/>
      <c r="E360" s="50"/>
      <c r="F360" s="51"/>
      <c r="G360" s="52"/>
      <c r="H360" s="53" t="str">
        <f t="shared" si="1"/>
        <v/>
      </c>
    </row>
    <row r="361">
      <c r="A361" s="47"/>
      <c r="C361" s="48"/>
      <c r="D361" s="49"/>
      <c r="E361" s="50"/>
      <c r="F361" s="51"/>
      <c r="G361" s="52"/>
      <c r="H361" s="53" t="str">
        <f t="shared" si="1"/>
        <v/>
      </c>
    </row>
    <row r="362">
      <c r="A362" s="47"/>
      <c r="C362" s="48"/>
      <c r="D362" s="49"/>
      <c r="E362" s="50"/>
      <c r="F362" s="51"/>
      <c r="G362" s="52"/>
      <c r="H362" s="53" t="str">
        <f t="shared" si="1"/>
        <v/>
      </c>
    </row>
    <row r="363">
      <c r="A363" s="47"/>
      <c r="C363" s="48"/>
      <c r="D363" s="49"/>
      <c r="E363" s="50"/>
      <c r="F363" s="51"/>
      <c r="G363" s="52"/>
      <c r="H363" s="53" t="str">
        <f t="shared" si="1"/>
        <v/>
      </c>
    </row>
    <row r="364">
      <c r="A364" s="47"/>
      <c r="C364" s="48"/>
      <c r="D364" s="49"/>
      <c r="E364" s="50"/>
      <c r="F364" s="51"/>
      <c r="G364" s="52"/>
      <c r="H364" s="53" t="str">
        <f t="shared" si="1"/>
        <v/>
      </c>
    </row>
    <row r="365">
      <c r="A365" s="47"/>
      <c r="C365" s="48"/>
      <c r="D365" s="49"/>
      <c r="E365" s="50"/>
      <c r="F365" s="51"/>
      <c r="G365" s="52"/>
      <c r="H365" s="53" t="str">
        <f t="shared" si="1"/>
        <v/>
      </c>
    </row>
    <row r="366">
      <c r="A366" s="47"/>
      <c r="C366" s="48"/>
      <c r="D366" s="49"/>
      <c r="E366" s="50"/>
      <c r="F366" s="51"/>
      <c r="G366" s="52"/>
      <c r="H366" s="53" t="str">
        <f t="shared" si="1"/>
        <v/>
      </c>
    </row>
    <row r="367">
      <c r="A367" s="47"/>
      <c r="C367" s="48"/>
      <c r="D367" s="49"/>
      <c r="E367" s="50"/>
      <c r="F367" s="51"/>
      <c r="G367" s="52"/>
      <c r="H367" s="53" t="str">
        <f t="shared" si="1"/>
        <v/>
      </c>
    </row>
    <row r="368">
      <c r="A368" s="47"/>
      <c r="C368" s="48"/>
      <c r="D368" s="49"/>
      <c r="E368" s="50"/>
      <c r="F368" s="51"/>
      <c r="G368" s="52"/>
      <c r="H368" s="53" t="str">
        <f t="shared" si="1"/>
        <v/>
      </c>
    </row>
    <row r="369">
      <c r="A369" s="47"/>
      <c r="C369" s="48"/>
      <c r="D369" s="49"/>
      <c r="E369" s="50"/>
      <c r="F369" s="51"/>
      <c r="G369" s="52"/>
      <c r="H369" s="53" t="str">
        <f t="shared" si="1"/>
        <v/>
      </c>
    </row>
    <row r="370">
      <c r="A370" s="47"/>
      <c r="C370" s="48"/>
      <c r="D370" s="49"/>
      <c r="E370" s="50"/>
      <c r="F370" s="51"/>
      <c r="G370" s="52"/>
      <c r="H370" s="53" t="str">
        <f t="shared" si="1"/>
        <v/>
      </c>
    </row>
    <row r="371">
      <c r="A371" s="47"/>
      <c r="C371" s="48"/>
      <c r="D371" s="49"/>
      <c r="E371" s="50"/>
      <c r="F371" s="51"/>
      <c r="G371" s="52"/>
      <c r="H371" s="53" t="str">
        <f t="shared" si="1"/>
        <v/>
      </c>
    </row>
    <row r="372">
      <c r="A372" s="47"/>
      <c r="C372" s="48"/>
      <c r="D372" s="49"/>
      <c r="E372" s="50"/>
      <c r="F372" s="51"/>
      <c r="G372" s="52"/>
      <c r="H372" s="53" t="str">
        <f t="shared" si="1"/>
        <v/>
      </c>
    </row>
    <row r="373">
      <c r="A373" s="47"/>
      <c r="C373" s="48"/>
      <c r="D373" s="49"/>
      <c r="E373" s="50"/>
      <c r="F373" s="51"/>
      <c r="G373" s="52"/>
      <c r="H373" s="53" t="str">
        <f t="shared" si="1"/>
        <v/>
      </c>
    </row>
    <row r="374">
      <c r="A374" s="47"/>
      <c r="C374" s="48"/>
      <c r="D374" s="49"/>
      <c r="E374" s="50"/>
      <c r="F374" s="51"/>
      <c r="G374" s="52"/>
      <c r="H374" s="53" t="str">
        <f t="shared" si="1"/>
        <v/>
      </c>
    </row>
    <row r="375">
      <c r="A375" s="47"/>
      <c r="C375" s="48"/>
      <c r="D375" s="49"/>
      <c r="E375" s="50"/>
      <c r="F375" s="51"/>
      <c r="G375" s="52"/>
      <c r="H375" s="53" t="str">
        <f t="shared" si="1"/>
        <v/>
      </c>
    </row>
    <row r="376">
      <c r="A376" s="47"/>
      <c r="C376" s="48"/>
      <c r="D376" s="49"/>
      <c r="E376" s="50"/>
      <c r="F376" s="51"/>
      <c r="G376" s="52"/>
      <c r="H376" s="53" t="str">
        <f t="shared" si="1"/>
        <v/>
      </c>
    </row>
    <row r="377">
      <c r="A377" s="47"/>
      <c r="C377" s="48"/>
      <c r="D377" s="49"/>
      <c r="E377" s="50"/>
      <c r="F377" s="51"/>
      <c r="G377" s="52"/>
      <c r="H377" s="53" t="str">
        <f t="shared" si="1"/>
        <v/>
      </c>
    </row>
    <row r="378">
      <c r="A378" s="47"/>
      <c r="C378" s="48"/>
      <c r="D378" s="49"/>
      <c r="E378" s="50"/>
      <c r="F378" s="51"/>
      <c r="G378" s="52"/>
      <c r="H378" s="53" t="str">
        <f t="shared" si="1"/>
        <v/>
      </c>
    </row>
    <row r="379">
      <c r="A379" s="47"/>
      <c r="C379" s="48"/>
      <c r="D379" s="49"/>
      <c r="E379" s="50"/>
      <c r="F379" s="51"/>
      <c r="G379" s="52"/>
      <c r="H379" s="53" t="str">
        <f t="shared" si="1"/>
        <v/>
      </c>
    </row>
    <row r="380">
      <c r="A380" s="47"/>
      <c r="C380" s="48"/>
      <c r="D380" s="49"/>
      <c r="E380" s="50"/>
      <c r="F380" s="51"/>
      <c r="G380" s="52"/>
      <c r="H380" s="53" t="str">
        <f t="shared" si="1"/>
        <v/>
      </c>
    </row>
    <row r="381">
      <c r="A381" s="47"/>
      <c r="C381" s="48"/>
      <c r="D381" s="49"/>
      <c r="E381" s="50"/>
      <c r="F381" s="51"/>
      <c r="G381" s="52"/>
      <c r="H381" s="53" t="str">
        <f t="shared" si="1"/>
        <v/>
      </c>
    </row>
    <row r="382">
      <c r="A382" s="47"/>
      <c r="C382" s="48"/>
      <c r="D382" s="49"/>
      <c r="E382" s="50"/>
      <c r="F382" s="51"/>
      <c r="G382" s="52"/>
      <c r="H382" s="53" t="str">
        <f t="shared" si="1"/>
        <v/>
      </c>
    </row>
    <row r="383">
      <c r="A383" s="47"/>
      <c r="C383" s="48"/>
      <c r="D383" s="49"/>
      <c r="E383" s="50"/>
      <c r="F383" s="51"/>
      <c r="G383" s="52"/>
      <c r="H383" s="53" t="str">
        <f t="shared" si="1"/>
        <v/>
      </c>
    </row>
    <row r="384">
      <c r="A384" s="47"/>
      <c r="C384" s="48"/>
      <c r="D384" s="49"/>
      <c r="E384" s="50"/>
      <c r="F384" s="51"/>
      <c r="G384" s="52"/>
      <c r="H384" s="53" t="str">
        <f t="shared" si="1"/>
        <v/>
      </c>
    </row>
    <row r="385">
      <c r="A385" s="47"/>
      <c r="C385" s="48"/>
      <c r="D385" s="49"/>
      <c r="E385" s="50"/>
      <c r="F385" s="51"/>
      <c r="G385" s="52"/>
      <c r="H385" s="53" t="str">
        <f t="shared" si="1"/>
        <v/>
      </c>
    </row>
    <row r="386">
      <c r="A386" s="47"/>
      <c r="C386" s="48"/>
      <c r="D386" s="49"/>
      <c r="E386" s="50"/>
      <c r="F386" s="51"/>
      <c r="G386" s="52"/>
      <c r="H386" s="53" t="str">
        <f t="shared" si="1"/>
        <v/>
      </c>
    </row>
    <row r="387">
      <c r="A387" s="47"/>
      <c r="C387" s="48"/>
      <c r="D387" s="49"/>
      <c r="E387" s="50"/>
      <c r="F387" s="51"/>
      <c r="G387" s="52"/>
      <c r="H387" s="53" t="str">
        <f t="shared" si="1"/>
        <v/>
      </c>
    </row>
    <row r="388">
      <c r="A388" s="47"/>
      <c r="C388" s="48"/>
      <c r="D388" s="49"/>
      <c r="E388" s="50"/>
      <c r="F388" s="51"/>
      <c r="G388" s="52"/>
      <c r="H388" s="53" t="str">
        <f t="shared" si="1"/>
        <v/>
      </c>
    </row>
    <row r="389">
      <c r="A389" s="47"/>
      <c r="C389" s="48"/>
      <c r="D389" s="49"/>
      <c r="E389" s="50"/>
      <c r="F389" s="51"/>
      <c r="G389" s="52"/>
      <c r="H389" s="53" t="str">
        <f t="shared" si="1"/>
        <v/>
      </c>
    </row>
    <row r="390">
      <c r="A390" s="47"/>
      <c r="C390" s="48"/>
      <c r="D390" s="49"/>
      <c r="E390" s="50"/>
      <c r="F390" s="51"/>
      <c r="G390" s="52"/>
      <c r="H390" s="53" t="str">
        <f t="shared" si="1"/>
        <v/>
      </c>
    </row>
    <row r="391">
      <c r="A391" s="47"/>
      <c r="C391" s="48"/>
      <c r="D391" s="49"/>
      <c r="E391" s="50"/>
      <c r="F391" s="51"/>
      <c r="G391" s="52"/>
      <c r="H391" s="53" t="str">
        <f t="shared" si="1"/>
        <v/>
      </c>
    </row>
    <row r="392">
      <c r="A392" s="47"/>
      <c r="C392" s="48"/>
      <c r="D392" s="49"/>
      <c r="E392" s="50"/>
      <c r="F392" s="51"/>
      <c r="G392" s="52"/>
      <c r="H392" s="53" t="str">
        <f t="shared" si="1"/>
        <v/>
      </c>
    </row>
    <row r="393">
      <c r="A393" s="47"/>
      <c r="C393" s="48"/>
      <c r="D393" s="49"/>
      <c r="E393" s="50"/>
      <c r="F393" s="51"/>
      <c r="G393" s="52"/>
      <c r="H393" s="53" t="str">
        <f t="shared" si="1"/>
        <v/>
      </c>
    </row>
    <row r="394">
      <c r="A394" s="47"/>
      <c r="C394" s="48"/>
      <c r="D394" s="49"/>
      <c r="E394" s="50"/>
      <c r="F394" s="51"/>
      <c r="G394" s="52"/>
      <c r="H394" s="53" t="str">
        <f t="shared" si="1"/>
        <v/>
      </c>
    </row>
    <row r="395">
      <c r="A395" s="47"/>
      <c r="C395" s="48"/>
      <c r="D395" s="49"/>
      <c r="E395" s="50"/>
      <c r="F395" s="51"/>
      <c r="G395" s="52"/>
      <c r="H395" s="53" t="str">
        <f t="shared" si="1"/>
        <v/>
      </c>
    </row>
    <row r="396">
      <c r="A396" s="47"/>
      <c r="C396" s="48"/>
      <c r="D396" s="49"/>
      <c r="E396" s="50"/>
      <c r="F396" s="51"/>
      <c r="G396" s="52"/>
      <c r="H396" s="53" t="str">
        <f t="shared" si="1"/>
        <v/>
      </c>
    </row>
    <row r="397">
      <c r="A397" s="47"/>
      <c r="C397" s="48"/>
      <c r="D397" s="49"/>
      <c r="E397" s="50"/>
      <c r="F397" s="51"/>
      <c r="G397" s="52"/>
      <c r="H397" s="53" t="str">
        <f t="shared" si="1"/>
        <v/>
      </c>
    </row>
    <row r="398">
      <c r="A398" s="47"/>
      <c r="C398" s="48"/>
      <c r="D398" s="49"/>
      <c r="E398" s="50"/>
      <c r="F398" s="51"/>
      <c r="G398" s="52"/>
      <c r="H398" s="53" t="str">
        <f t="shared" si="1"/>
        <v/>
      </c>
    </row>
    <row r="399">
      <c r="A399" s="47"/>
      <c r="C399" s="48"/>
      <c r="D399" s="49"/>
      <c r="E399" s="50"/>
      <c r="F399" s="51"/>
      <c r="G399" s="52"/>
      <c r="H399" s="53" t="str">
        <f t="shared" si="1"/>
        <v/>
      </c>
    </row>
    <row r="400">
      <c r="A400" s="47"/>
      <c r="C400" s="48"/>
      <c r="D400" s="49"/>
      <c r="E400" s="50"/>
      <c r="F400" s="51"/>
      <c r="G400" s="52"/>
      <c r="H400" s="53" t="str">
        <f t="shared" si="1"/>
        <v/>
      </c>
    </row>
    <row r="401">
      <c r="A401" s="47"/>
      <c r="C401" s="48"/>
      <c r="D401" s="49"/>
      <c r="E401" s="50"/>
      <c r="F401" s="51"/>
      <c r="G401" s="52"/>
      <c r="H401" s="53" t="str">
        <f t="shared" si="1"/>
        <v/>
      </c>
    </row>
    <row r="402">
      <c r="A402" s="47"/>
      <c r="C402" s="48"/>
      <c r="D402" s="49"/>
      <c r="E402" s="50"/>
      <c r="F402" s="51"/>
      <c r="G402" s="52"/>
      <c r="H402" s="53" t="str">
        <f t="shared" si="1"/>
        <v/>
      </c>
    </row>
    <row r="403">
      <c r="A403" s="47"/>
      <c r="C403" s="48"/>
      <c r="D403" s="49"/>
      <c r="E403" s="50"/>
      <c r="F403" s="51"/>
      <c r="G403" s="52"/>
      <c r="H403" s="53" t="str">
        <f t="shared" si="1"/>
        <v/>
      </c>
    </row>
    <row r="404">
      <c r="A404" s="47"/>
      <c r="C404" s="48"/>
      <c r="D404" s="49"/>
      <c r="E404" s="50"/>
      <c r="F404" s="51"/>
      <c r="G404" s="52"/>
      <c r="H404" s="53" t="str">
        <f t="shared" si="1"/>
        <v/>
      </c>
    </row>
    <row r="405">
      <c r="A405" s="47"/>
      <c r="C405" s="48"/>
      <c r="D405" s="49"/>
      <c r="E405" s="50"/>
      <c r="F405" s="51"/>
      <c r="G405" s="52"/>
      <c r="H405" s="53" t="str">
        <f t="shared" si="1"/>
        <v/>
      </c>
    </row>
    <row r="406">
      <c r="A406" s="47"/>
      <c r="C406" s="48"/>
      <c r="D406" s="49"/>
      <c r="E406" s="50"/>
      <c r="F406" s="51"/>
      <c r="G406" s="52"/>
      <c r="H406" s="53" t="str">
        <f t="shared" si="1"/>
        <v/>
      </c>
    </row>
    <row r="407">
      <c r="A407" s="47"/>
      <c r="C407" s="48"/>
      <c r="D407" s="49"/>
      <c r="E407" s="50"/>
      <c r="F407" s="51"/>
      <c r="G407" s="52"/>
      <c r="H407" s="53" t="str">
        <f t="shared" si="1"/>
        <v/>
      </c>
    </row>
    <row r="408">
      <c r="A408" s="47"/>
      <c r="C408" s="48"/>
      <c r="D408" s="49"/>
      <c r="E408" s="50"/>
      <c r="F408" s="51"/>
      <c r="G408" s="52"/>
      <c r="H408" s="53" t="str">
        <f t="shared" si="1"/>
        <v/>
      </c>
    </row>
    <row r="409">
      <c r="A409" s="47"/>
      <c r="C409" s="48"/>
      <c r="D409" s="49"/>
      <c r="E409" s="50"/>
      <c r="F409" s="51"/>
      <c r="G409" s="52"/>
      <c r="H409" s="53" t="str">
        <f t="shared" si="1"/>
        <v/>
      </c>
    </row>
    <row r="410">
      <c r="A410" s="47"/>
      <c r="C410" s="48"/>
      <c r="D410" s="49"/>
      <c r="E410" s="50"/>
      <c r="F410" s="51"/>
      <c r="G410" s="52"/>
      <c r="H410" s="53" t="str">
        <f t="shared" si="1"/>
        <v/>
      </c>
    </row>
    <row r="411">
      <c r="A411" s="47"/>
      <c r="C411" s="48"/>
      <c r="D411" s="49"/>
      <c r="E411" s="50"/>
      <c r="F411" s="51"/>
      <c r="G411" s="52"/>
      <c r="H411" s="53" t="str">
        <f t="shared" si="1"/>
        <v/>
      </c>
    </row>
    <row r="412">
      <c r="A412" s="47"/>
      <c r="C412" s="48"/>
      <c r="D412" s="49"/>
      <c r="E412" s="50"/>
      <c r="F412" s="51"/>
      <c r="G412" s="52"/>
      <c r="H412" s="53" t="str">
        <f t="shared" si="1"/>
        <v/>
      </c>
    </row>
    <row r="413">
      <c r="A413" s="47"/>
      <c r="C413" s="48"/>
      <c r="D413" s="49"/>
      <c r="E413" s="50"/>
      <c r="F413" s="51"/>
      <c r="G413" s="52"/>
      <c r="H413" s="53" t="str">
        <f t="shared" si="1"/>
        <v/>
      </c>
    </row>
    <row r="414">
      <c r="A414" s="47"/>
      <c r="C414" s="48"/>
      <c r="D414" s="49"/>
      <c r="E414" s="50"/>
      <c r="F414" s="51"/>
      <c r="G414" s="52"/>
      <c r="H414" s="53" t="str">
        <f t="shared" si="1"/>
        <v/>
      </c>
    </row>
    <row r="415">
      <c r="A415" s="47"/>
      <c r="C415" s="48"/>
      <c r="D415" s="49"/>
      <c r="E415" s="50"/>
      <c r="F415" s="51"/>
      <c r="G415" s="52"/>
      <c r="H415" s="53" t="str">
        <f t="shared" si="1"/>
        <v/>
      </c>
    </row>
    <row r="416">
      <c r="A416" s="47"/>
      <c r="C416" s="48"/>
      <c r="D416" s="49"/>
      <c r="E416" s="50"/>
      <c r="F416" s="51"/>
      <c r="G416" s="52"/>
      <c r="H416" s="53" t="str">
        <f t="shared" si="1"/>
        <v/>
      </c>
    </row>
    <row r="417">
      <c r="A417" s="47"/>
      <c r="C417" s="48"/>
      <c r="D417" s="49"/>
      <c r="E417" s="50"/>
      <c r="F417" s="51"/>
      <c r="G417" s="52"/>
      <c r="H417" s="53" t="str">
        <f t="shared" si="1"/>
        <v/>
      </c>
    </row>
    <row r="418">
      <c r="A418" s="47"/>
      <c r="C418" s="48"/>
      <c r="D418" s="49"/>
      <c r="E418" s="50"/>
      <c r="F418" s="51"/>
      <c r="G418" s="52"/>
      <c r="H418" s="53" t="str">
        <f t="shared" si="1"/>
        <v/>
      </c>
    </row>
    <row r="419">
      <c r="A419" s="47"/>
      <c r="C419" s="48"/>
      <c r="D419" s="49"/>
      <c r="E419" s="50"/>
      <c r="F419" s="51"/>
      <c r="G419" s="52"/>
      <c r="H419" s="53" t="str">
        <f t="shared" si="1"/>
        <v/>
      </c>
    </row>
    <row r="420">
      <c r="A420" s="47"/>
      <c r="C420" s="48"/>
      <c r="D420" s="49"/>
      <c r="E420" s="50"/>
      <c r="F420" s="51"/>
      <c r="G420" s="52"/>
      <c r="H420" s="53" t="str">
        <f t="shared" si="1"/>
        <v/>
      </c>
    </row>
    <row r="421">
      <c r="A421" s="47"/>
      <c r="C421" s="48"/>
      <c r="D421" s="49"/>
      <c r="E421" s="50"/>
      <c r="F421" s="51"/>
      <c r="G421" s="52"/>
      <c r="H421" s="53" t="str">
        <f t="shared" si="1"/>
        <v/>
      </c>
    </row>
    <row r="422">
      <c r="A422" s="47"/>
      <c r="C422" s="48"/>
      <c r="D422" s="49"/>
      <c r="E422" s="50"/>
      <c r="F422" s="51"/>
      <c r="G422" s="52"/>
      <c r="H422" s="53" t="str">
        <f t="shared" si="1"/>
        <v/>
      </c>
    </row>
    <row r="423">
      <c r="A423" s="47"/>
      <c r="C423" s="48"/>
      <c r="D423" s="49"/>
      <c r="E423" s="50"/>
      <c r="F423" s="51"/>
      <c r="G423" s="52"/>
      <c r="H423" s="53" t="str">
        <f t="shared" si="1"/>
        <v/>
      </c>
    </row>
    <row r="424">
      <c r="A424" s="47"/>
      <c r="C424" s="48"/>
      <c r="D424" s="49"/>
      <c r="E424" s="50"/>
      <c r="F424" s="51"/>
      <c r="G424" s="52"/>
      <c r="H424" s="53" t="str">
        <f t="shared" si="1"/>
        <v/>
      </c>
    </row>
    <row r="425">
      <c r="A425" s="47"/>
      <c r="C425" s="48"/>
      <c r="D425" s="49"/>
      <c r="E425" s="50"/>
      <c r="F425" s="51"/>
      <c r="G425" s="52"/>
      <c r="H425" s="53" t="str">
        <f t="shared" si="1"/>
        <v/>
      </c>
    </row>
    <row r="426">
      <c r="A426" s="47"/>
      <c r="C426" s="48"/>
      <c r="D426" s="49"/>
      <c r="E426" s="50"/>
      <c r="F426" s="51"/>
      <c r="G426" s="52"/>
      <c r="H426" s="53" t="str">
        <f t="shared" si="1"/>
        <v/>
      </c>
    </row>
    <row r="427">
      <c r="A427" s="47"/>
      <c r="C427" s="48"/>
      <c r="D427" s="49"/>
      <c r="E427" s="50"/>
      <c r="F427" s="51"/>
      <c r="G427" s="52"/>
      <c r="H427" s="53" t="str">
        <f t="shared" si="1"/>
        <v/>
      </c>
    </row>
    <row r="428">
      <c r="A428" s="47"/>
      <c r="C428" s="48"/>
      <c r="D428" s="49"/>
      <c r="E428" s="50"/>
      <c r="F428" s="51"/>
      <c r="G428" s="52"/>
      <c r="H428" s="53" t="str">
        <f t="shared" si="1"/>
        <v/>
      </c>
    </row>
    <row r="429">
      <c r="A429" s="47"/>
      <c r="C429" s="48"/>
      <c r="D429" s="49"/>
      <c r="E429" s="50"/>
      <c r="F429" s="51"/>
      <c r="G429" s="52"/>
      <c r="H429" s="53" t="str">
        <f t="shared" si="1"/>
        <v/>
      </c>
    </row>
    <row r="430">
      <c r="A430" s="47"/>
      <c r="C430" s="48"/>
      <c r="D430" s="49"/>
      <c r="E430" s="50"/>
      <c r="F430" s="51"/>
      <c r="G430" s="52"/>
      <c r="H430" s="53" t="str">
        <f t="shared" si="1"/>
        <v/>
      </c>
    </row>
    <row r="431">
      <c r="A431" s="47"/>
      <c r="C431" s="48"/>
      <c r="D431" s="49"/>
      <c r="E431" s="50"/>
      <c r="F431" s="51"/>
      <c r="G431" s="52"/>
      <c r="H431" s="53" t="str">
        <f t="shared" si="1"/>
        <v/>
      </c>
    </row>
    <row r="432">
      <c r="A432" s="47"/>
      <c r="C432" s="48"/>
      <c r="D432" s="49"/>
      <c r="E432" s="50"/>
      <c r="F432" s="51"/>
      <c r="G432" s="52"/>
      <c r="H432" s="53" t="str">
        <f t="shared" si="1"/>
        <v/>
      </c>
    </row>
    <row r="433">
      <c r="A433" s="47"/>
      <c r="C433" s="48"/>
      <c r="D433" s="49"/>
      <c r="E433" s="50"/>
      <c r="F433" s="51"/>
      <c r="G433" s="52"/>
      <c r="H433" s="53" t="str">
        <f t="shared" si="1"/>
        <v/>
      </c>
    </row>
    <row r="434">
      <c r="A434" s="47"/>
      <c r="C434" s="48"/>
      <c r="D434" s="49"/>
      <c r="E434" s="50"/>
      <c r="F434" s="51"/>
      <c r="G434" s="52"/>
      <c r="H434" s="53" t="str">
        <f t="shared" si="1"/>
        <v/>
      </c>
    </row>
    <row r="435">
      <c r="A435" s="47"/>
      <c r="C435" s="48"/>
      <c r="D435" s="49"/>
      <c r="E435" s="50"/>
      <c r="F435" s="51"/>
      <c r="G435" s="52"/>
      <c r="H435" s="53" t="str">
        <f t="shared" si="1"/>
        <v/>
      </c>
    </row>
    <row r="436">
      <c r="A436" s="47"/>
      <c r="C436" s="48"/>
      <c r="D436" s="49"/>
      <c r="E436" s="50"/>
      <c r="F436" s="51"/>
      <c r="G436" s="52"/>
      <c r="H436" s="53" t="str">
        <f t="shared" si="1"/>
        <v/>
      </c>
    </row>
    <row r="437">
      <c r="A437" s="47"/>
      <c r="C437" s="48"/>
      <c r="D437" s="49"/>
      <c r="E437" s="50"/>
      <c r="F437" s="51"/>
      <c r="G437" s="52"/>
      <c r="H437" s="53" t="str">
        <f t="shared" si="1"/>
        <v/>
      </c>
    </row>
    <row r="438">
      <c r="A438" s="47"/>
      <c r="C438" s="48"/>
      <c r="D438" s="49"/>
      <c r="E438" s="50"/>
      <c r="F438" s="51"/>
      <c r="G438" s="52"/>
      <c r="H438" s="53" t="str">
        <f t="shared" si="1"/>
        <v/>
      </c>
    </row>
    <row r="439">
      <c r="A439" s="47"/>
      <c r="C439" s="48"/>
      <c r="D439" s="49"/>
      <c r="E439" s="50"/>
      <c r="F439" s="51"/>
      <c r="G439" s="52"/>
      <c r="H439" s="53" t="str">
        <f t="shared" si="1"/>
        <v/>
      </c>
    </row>
    <row r="440">
      <c r="A440" s="47"/>
      <c r="C440" s="48"/>
      <c r="D440" s="49"/>
      <c r="E440" s="50"/>
      <c r="F440" s="51"/>
      <c r="G440" s="52"/>
      <c r="H440" s="53" t="str">
        <f t="shared" si="1"/>
        <v/>
      </c>
    </row>
    <row r="441">
      <c r="A441" s="47"/>
      <c r="C441" s="48"/>
      <c r="D441" s="49"/>
      <c r="E441" s="50"/>
      <c r="F441" s="51"/>
      <c r="G441" s="52"/>
      <c r="H441" s="53" t="str">
        <f t="shared" si="1"/>
        <v/>
      </c>
    </row>
    <row r="442">
      <c r="A442" s="47"/>
      <c r="C442" s="48"/>
      <c r="D442" s="49"/>
      <c r="E442" s="50"/>
      <c r="F442" s="51"/>
      <c r="G442" s="52"/>
      <c r="H442" s="53" t="str">
        <f t="shared" si="1"/>
        <v/>
      </c>
    </row>
    <row r="443">
      <c r="A443" s="47"/>
      <c r="C443" s="48"/>
      <c r="D443" s="49"/>
      <c r="E443" s="50"/>
      <c r="F443" s="51"/>
      <c r="G443" s="52"/>
      <c r="H443" s="53" t="str">
        <f t="shared" si="1"/>
        <v/>
      </c>
    </row>
    <row r="444">
      <c r="A444" s="47"/>
      <c r="C444" s="48"/>
      <c r="D444" s="49"/>
      <c r="E444" s="50"/>
      <c r="F444" s="51"/>
      <c r="G444" s="52"/>
      <c r="H444" s="53" t="str">
        <f t="shared" si="1"/>
        <v/>
      </c>
    </row>
    <row r="445">
      <c r="A445" s="47"/>
      <c r="C445" s="48"/>
      <c r="D445" s="49"/>
      <c r="E445" s="50"/>
      <c r="F445" s="51"/>
      <c r="G445" s="52"/>
      <c r="H445" s="53" t="str">
        <f t="shared" si="1"/>
        <v/>
      </c>
    </row>
    <row r="446">
      <c r="A446" s="47"/>
      <c r="C446" s="48"/>
      <c r="D446" s="49"/>
      <c r="E446" s="50"/>
      <c r="F446" s="51"/>
      <c r="G446" s="52"/>
      <c r="H446" s="53" t="str">
        <f t="shared" si="1"/>
        <v/>
      </c>
    </row>
    <row r="447">
      <c r="A447" s="47"/>
      <c r="C447" s="48"/>
      <c r="D447" s="49"/>
      <c r="E447" s="50"/>
      <c r="F447" s="51"/>
      <c r="G447" s="52"/>
      <c r="H447" s="53" t="str">
        <f t="shared" si="1"/>
        <v/>
      </c>
    </row>
    <row r="448">
      <c r="A448" s="47"/>
      <c r="C448" s="48"/>
      <c r="D448" s="49"/>
      <c r="E448" s="50"/>
      <c r="F448" s="51"/>
      <c r="G448" s="52"/>
      <c r="H448" s="53" t="str">
        <f t="shared" si="1"/>
        <v/>
      </c>
    </row>
    <row r="449">
      <c r="A449" s="47"/>
      <c r="C449" s="48"/>
      <c r="D449" s="49"/>
      <c r="E449" s="50"/>
      <c r="F449" s="51"/>
      <c r="G449" s="52"/>
      <c r="H449" s="53" t="str">
        <f t="shared" si="1"/>
        <v/>
      </c>
    </row>
    <row r="450">
      <c r="A450" s="47"/>
      <c r="C450" s="48"/>
      <c r="D450" s="49"/>
      <c r="E450" s="50"/>
      <c r="F450" s="51"/>
      <c r="G450" s="52"/>
      <c r="H450" s="53" t="str">
        <f t="shared" si="1"/>
        <v/>
      </c>
    </row>
    <row r="451">
      <c r="A451" s="47"/>
      <c r="C451" s="48"/>
      <c r="D451" s="49"/>
      <c r="E451" s="50"/>
      <c r="F451" s="51"/>
      <c r="G451" s="52"/>
      <c r="H451" s="53" t="str">
        <f t="shared" si="1"/>
        <v/>
      </c>
    </row>
    <row r="452">
      <c r="A452" s="47"/>
      <c r="C452" s="48"/>
      <c r="D452" s="49"/>
      <c r="E452" s="50"/>
      <c r="F452" s="51"/>
      <c r="G452" s="52"/>
      <c r="H452" s="53" t="str">
        <f t="shared" si="1"/>
        <v/>
      </c>
    </row>
    <row r="453">
      <c r="A453" s="47"/>
      <c r="C453" s="48"/>
      <c r="D453" s="49"/>
      <c r="E453" s="50"/>
      <c r="F453" s="51"/>
      <c r="G453" s="52"/>
      <c r="H453" s="53" t="str">
        <f t="shared" si="1"/>
        <v/>
      </c>
    </row>
    <row r="454">
      <c r="A454" s="47"/>
      <c r="C454" s="48"/>
      <c r="D454" s="49"/>
      <c r="E454" s="50"/>
      <c r="F454" s="51"/>
      <c r="G454" s="52"/>
      <c r="H454" s="53" t="str">
        <f t="shared" si="1"/>
        <v/>
      </c>
    </row>
    <row r="455">
      <c r="A455" s="47"/>
      <c r="C455" s="48"/>
      <c r="D455" s="49"/>
      <c r="E455" s="50"/>
      <c r="F455" s="51"/>
      <c r="G455" s="52"/>
      <c r="H455" s="53" t="str">
        <f t="shared" si="1"/>
        <v/>
      </c>
    </row>
    <row r="456">
      <c r="A456" s="47"/>
      <c r="C456" s="48"/>
      <c r="D456" s="49"/>
      <c r="E456" s="50"/>
      <c r="F456" s="51"/>
      <c r="G456" s="52"/>
      <c r="H456" s="53" t="str">
        <f t="shared" si="1"/>
        <v/>
      </c>
    </row>
    <row r="457">
      <c r="A457" s="47"/>
      <c r="C457" s="48"/>
      <c r="D457" s="49"/>
      <c r="E457" s="50"/>
      <c r="F457" s="51"/>
      <c r="G457" s="52"/>
      <c r="H457" s="53" t="str">
        <f t="shared" si="1"/>
        <v/>
      </c>
    </row>
    <row r="458">
      <c r="A458" s="47"/>
      <c r="C458" s="48"/>
      <c r="D458" s="49"/>
      <c r="E458" s="50"/>
      <c r="F458" s="51"/>
      <c r="G458" s="52"/>
      <c r="H458" s="53" t="str">
        <f t="shared" si="1"/>
        <v/>
      </c>
    </row>
    <row r="459">
      <c r="A459" s="47"/>
      <c r="C459" s="48"/>
      <c r="D459" s="49"/>
      <c r="E459" s="50"/>
      <c r="F459" s="51"/>
      <c r="G459" s="52"/>
      <c r="H459" s="53" t="str">
        <f t="shared" si="1"/>
        <v/>
      </c>
    </row>
    <row r="460">
      <c r="A460" s="47"/>
      <c r="C460" s="48"/>
      <c r="D460" s="49"/>
      <c r="E460" s="50"/>
      <c r="F460" s="51"/>
      <c r="G460" s="52"/>
      <c r="H460" s="53" t="str">
        <f t="shared" si="1"/>
        <v/>
      </c>
    </row>
    <row r="461">
      <c r="A461" s="47"/>
      <c r="C461" s="48"/>
      <c r="D461" s="49"/>
      <c r="E461" s="50"/>
      <c r="F461" s="51"/>
      <c r="G461" s="52"/>
      <c r="H461" s="53" t="str">
        <f t="shared" si="1"/>
        <v/>
      </c>
    </row>
    <row r="462">
      <c r="A462" s="47"/>
      <c r="C462" s="48"/>
      <c r="D462" s="49"/>
      <c r="E462" s="50"/>
      <c r="F462" s="51"/>
      <c r="G462" s="52"/>
      <c r="H462" s="53" t="str">
        <f t="shared" si="1"/>
        <v/>
      </c>
    </row>
    <row r="463">
      <c r="A463" s="47"/>
      <c r="C463" s="48"/>
      <c r="D463" s="49"/>
      <c r="E463" s="50"/>
      <c r="F463" s="51"/>
      <c r="G463" s="52"/>
      <c r="H463" s="53" t="str">
        <f t="shared" si="1"/>
        <v/>
      </c>
    </row>
    <row r="464">
      <c r="A464" s="47"/>
      <c r="C464" s="48"/>
      <c r="D464" s="49"/>
      <c r="E464" s="50"/>
      <c r="F464" s="51"/>
      <c r="G464" s="52"/>
      <c r="H464" s="53" t="str">
        <f t="shared" si="1"/>
        <v/>
      </c>
    </row>
    <row r="465">
      <c r="A465" s="47"/>
      <c r="C465" s="48"/>
      <c r="D465" s="49"/>
      <c r="E465" s="50"/>
      <c r="F465" s="51"/>
      <c r="G465" s="52"/>
      <c r="H465" s="53" t="str">
        <f t="shared" si="1"/>
        <v/>
      </c>
    </row>
    <row r="466">
      <c r="A466" s="47"/>
      <c r="C466" s="48"/>
      <c r="D466" s="49"/>
      <c r="E466" s="50"/>
      <c r="F466" s="51"/>
      <c r="G466" s="52"/>
      <c r="H466" s="53" t="str">
        <f t="shared" si="1"/>
        <v/>
      </c>
    </row>
    <row r="467">
      <c r="A467" s="47"/>
      <c r="C467" s="48"/>
      <c r="D467" s="49"/>
      <c r="E467" s="50"/>
      <c r="F467" s="51"/>
      <c r="G467" s="52"/>
      <c r="H467" s="53" t="str">
        <f t="shared" si="1"/>
        <v/>
      </c>
    </row>
    <row r="468">
      <c r="A468" s="47"/>
      <c r="C468" s="48"/>
      <c r="D468" s="49"/>
      <c r="E468" s="50"/>
      <c r="F468" s="51"/>
      <c r="G468" s="52"/>
      <c r="H468" s="53" t="str">
        <f t="shared" si="1"/>
        <v/>
      </c>
    </row>
    <row r="469">
      <c r="A469" s="47"/>
      <c r="C469" s="48"/>
      <c r="D469" s="49"/>
      <c r="E469" s="50"/>
      <c r="F469" s="51"/>
      <c r="G469" s="52"/>
      <c r="H469" s="53" t="str">
        <f t="shared" si="1"/>
        <v/>
      </c>
    </row>
    <row r="470">
      <c r="A470" s="47"/>
      <c r="C470" s="48"/>
      <c r="D470" s="49"/>
      <c r="E470" s="50"/>
      <c r="F470" s="51"/>
      <c r="G470" s="52"/>
      <c r="H470" s="53" t="str">
        <f t="shared" si="1"/>
        <v/>
      </c>
    </row>
    <row r="471">
      <c r="A471" s="47"/>
      <c r="C471" s="48"/>
      <c r="D471" s="49"/>
      <c r="E471" s="50"/>
      <c r="F471" s="51"/>
      <c r="G471" s="52"/>
      <c r="H471" s="53" t="str">
        <f t="shared" si="1"/>
        <v/>
      </c>
    </row>
    <row r="472">
      <c r="A472" s="47"/>
      <c r="C472" s="48"/>
      <c r="D472" s="49"/>
      <c r="E472" s="50"/>
      <c r="F472" s="51"/>
      <c r="G472" s="52"/>
      <c r="H472" s="53" t="str">
        <f t="shared" si="1"/>
        <v/>
      </c>
    </row>
    <row r="473">
      <c r="A473" s="47"/>
      <c r="C473" s="48"/>
      <c r="D473" s="49"/>
      <c r="E473" s="50"/>
      <c r="F473" s="51"/>
      <c r="G473" s="52"/>
      <c r="H473" s="53" t="str">
        <f t="shared" si="1"/>
        <v/>
      </c>
    </row>
    <row r="474">
      <c r="A474" s="47"/>
      <c r="C474" s="48"/>
      <c r="D474" s="49"/>
      <c r="E474" s="50"/>
      <c r="F474" s="51"/>
      <c r="G474" s="52"/>
      <c r="H474" s="53" t="str">
        <f t="shared" si="1"/>
        <v/>
      </c>
    </row>
    <row r="475">
      <c r="A475" s="47"/>
      <c r="C475" s="48"/>
      <c r="D475" s="49"/>
      <c r="E475" s="50"/>
      <c r="F475" s="51"/>
      <c r="G475" s="52"/>
      <c r="H475" s="53" t="str">
        <f t="shared" si="1"/>
        <v/>
      </c>
    </row>
    <row r="476">
      <c r="A476" s="47"/>
      <c r="C476" s="48"/>
      <c r="D476" s="49"/>
      <c r="E476" s="50"/>
      <c r="F476" s="51"/>
      <c r="G476" s="52"/>
      <c r="H476" s="53" t="str">
        <f t="shared" si="1"/>
        <v/>
      </c>
    </row>
    <row r="477">
      <c r="A477" s="47"/>
      <c r="C477" s="48"/>
      <c r="D477" s="49"/>
      <c r="E477" s="50"/>
      <c r="F477" s="51"/>
      <c r="G477" s="52"/>
      <c r="H477" s="53" t="str">
        <f t="shared" si="1"/>
        <v/>
      </c>
    </row>
    <row r="478">
      <c r="A478" s="47"/>
      <c r="C478" s="48"/>
      <c r="D478" s="49"/>
      <c r="E478" s="50"/>
      <c r="F478" s="51"/>
      <c r="G478" s="52"/>
      <c r="H478" s="53" t="str">
        <f t="shared" si="1"/>
        <v/>
      </c>
    </row>
    <row r="479">
      <c r="A479" s="47"/>
      <c r="C479" s="48"/>
      <c r="D479" s="49"/>
      <c r="E479" s="50"/>
      <c r="F479" s="51"/>
      <c r="G479" s="52"/>
      <c r="H479" s="53" t="str">
        <f t="shared" si="1"/>
        <v/>
      </c>
    </row>
    <row r="480">
      <c r="A480" s="47"/>
      <c r="C480" s="48"/>
      <c r="D480" s="49"/>
      <c r="E480" s="50"/>
      <c r="F480" s="51"/>
      <c r="G480" s="52"/>
      <c r="H480" s="53" t="str">
        <f t="shared" si="1"/>
        <v/>
      </c>
    </row>
    <row r="481">
      <c r="A481" s="47"/>
      <c r="C481" s="48"/>
      <c r="D481" s="49"/>
      <c r="E481" s="50"/>
      <c r="F481" s="51"/>
      <c r="G481" s="52"/>
      <c r="H481" s="53" t="str">
        <f t="shared" si="1"/>
        <v/>
      </c>
    </row>
    <row r="482">
      <c r="A482" s="47"/>
      <c r="C482" s="48"/>
      <c r="D482" s="49"/>
      <c r="E482" s="50"/>
      <c r="F482" s="51"/>
      <c r="G482" s="52"/>
      <c r="H482" s="53" t="str">
        <f t="shared" si="1"/>
        <v/>
      </c>
    </row>
    <row r="483">
      <c r="A483" s="47"/>
      <c r="C483" s="48"/>
      <c r="D483" s="49"/>
      <c r="E483" s="50"/>
      <c r="F483" s="51"/>
      <c r="G483" s="52"/>
      <c r="H483" s="53" t="str">
        <f t="shared" si="1"/>
        <v/>
      </c>
    </row>
    <row r="484">
      <c r="A484" s="47"/>
      <c r="C484" s="48"/>
      <c r="D484" s="49"/>
      <c r="E484" s="50"/>
      <c r="F484" s="51"/>
      <c r="G484" s="52"/>
      <c r="H484" s="53" t="str">
        <f t="shared" si="1"/>
        <v/>
      </c>
    </row>
    <row r="485">
      <c r="A485" s="47"/>
      <c r="C485" s="48"/>
      <c r="D485" s="49"/>
      <c r="E485" s="50"/>
      <c r="F485" s="51"/>
      <c r="G485" s="52"/>
      <c r="H485" s="53" t="str">
        <f t="shared" si="1"/>
        <v/>
      </c>
    </row>
    <row r="486">
      <c r="A486" s="47"/>
      <c r="C486" s="48"/>
      <c r="D486" s="49"/>
      <c r="E486" s="50"/>
      <c r="F486" s="51"/>
      <c r="G486" s="52"/>
      <c r="H486" s="53" t="str">
        <f t="shared" si="1"/>
        <v/>
      </c>
    </row>
    <row r="487">
      <c r="A487" s="47"/>
      <c r="C487" s="48"/>
      <c r="D487" s="49"/>
      <c r="E487" s="50"/>
      <c r="F487" s="51"/>
      <c r="G487" s="52"/>
      <c r="H487" s="53" t="str">
        <f t="shared" si="1"/>
        <v/>
      </c>
    </row>
    <row r="488">
      <c r="A488" s="47"/>
      <c r="C488" s="48"/>
      <c r="D488" s="49"/>
      <c r="E488" s="50"/>
      <c r="F488" s="51"/>
      <c r="G488" s="52"/>
      <c r="H488" s="53" t="str">
        <f t="shared" si="1"/>
        <v/>
      </c>
    </row>
    <row r="489">
      <c r="A489" s="47"/>
      <c r="C489" s="48"/>
      <c r="D489" s="49"/>
      <c r="E489" s="50"/>
      <c r="F489" s="51"/>
      <c r="G489" s="52"/>
      <c r="H489" s="53" t="str">
        <f t="shared" si="1"/>
        <v/>
      </c>
    </row>
    <row r="490">
      <c r="A490" s="47"/>
      <c r="C490" s="48"/>
      <c r="D490" s="49"/>
      <c r="E490" s="50"/>
      <c r="F490" s="51"/>
      <c r="G490" s="52"/>
      <c r="H490" s="53" t="str">
        <f t="shared" si="1"/>
        <v/>
      </c>
    </row>
    <row r="491">
      <c r="A491" s="47"/>
      <c r="C491" s="48"/>
      <c r="D491" s="49"/>
      <c r="E491" s="50"/>
      <c r="F491" s="51"/>
      <c r="G491" s="52"/>
      <c r="H491" s="53" t="str">
        <f t="shared" si="1"/>
        <v/>
      </c>
    </row>
    <row r="492">
      <c r="A492" s="47"/>
      <c r="C492" s="48"/>
      <c r="D492" s="49"/>
      <c r="E492" s="50"/>
      <c r="F492" s="51"/>
      <c r="G492" s="52"/>
      <c r="H492" s="53" t="str">
        <f t="shared" si="1"/>
        <v/>
      </c>
    </row>
    <row r="493">
      <c r="A493" s="47"/>
      <c r="C493" s="48"/>
      <c r="D493" s="49"/>
      <c r="E493" s="50"/>
      <c r="F493" s="51"/>
      <c r="G493" s="52"/>
      <c r="H493" s="53" t="str">
        <f t="shared" si="1"/>
        <v/>
      </c>
    </row>
    <row r="494">
      <c r="A494" s="47"/>
      <c r="C494" s="48"/>
      <c r="D494" s="49"/>
      <c r="E494" s="50"/>
      <c r="F494" s="51"/>
      <c r="G494" s="52"/>
      <c r="H494" s="53" t="str">
        <f t="shared" si="1"/>
        <v/>
      </c>
    </row>
    <row r="495">
      <c r="A495" s="47"/>
      <c r="C495" s="48"/>
      <c r="D495" s="49"/>
      <c r="E495" s="50"/>
      <c r="F495" s="51"/>
      <c r="G495" s="52"/>
      <c r="H495" s="53" t="str">
        <f t="shared" si="1"/>
        <v/>
      </c>
    </row>
    <row r="496">
      <c r="A496" s="47"/>
      <c r="C496" s="48"/>
      <c r="D496" s="49"/>
      <c r="E496" s="50"/>
      <c r="F496" s="51"/>
      <c r="G496" s="52"/>
      <c r="H496" s="53" t="str">
        <f t="shared" si="1"/>
        <v/>
      </c>
    </row>
    <row r="497">
      <c r="A497" s="47"/>
      <c r="C497" s="48"/>
      <c r="D497" s="49"/>
      <c r="E497" s="50"/>
      <c r="F497" s="51"/>
      <c r="G497" s="52"/>
      <c r="H497" s="53" t="str">
        <f t="shared" si="1"/>
        <v/>
      </c>
    </row>
    <row r="498">
      <c r="A498" s="47"/>
      <c r="C498" s="48"/>
      <c r="D498" s="49"/>
      <c r="E498" s="50"/>
      <c r="F498" s="51"/>
      <c r="G498" s="52"/>
      <c r="H498" s="53" t="str">
        <f t="shared" si="1"/>
        <v/>
      </c>
    </row>
    <row r="499">
      <c r="A499" s="47"/>
      <c r="C499" s="48"/>
      <c r="D499" s="49"/>
      <c r="E499" s="50"/>
      <c r="F499" s="51"/>
      <c r="G499" s="52"/>
      <c r="H499" s="53" t="str">
        <f t="shared" si="1"/>
        <v/>
      </c>
    </row>
    <row r="500">
      <c r="A500" s="47"/>
      <c r="C500" s="48"/>
      <c r="D500" s="49"/>
      <c r="E500" s="50"/>
      <c r="F500" s="51"/>
      <c r="G500" s="52"/>
      <c r="H500" s="53" t="str">
        <f t="shared" si="1"/>
        <v/>
      </c>
    </row>
    <row r="501">
      <c r="A501" s="47"/>
      <c r="C501" s="48"/>
      <c r="D501" s="49"/>
      <c r="E501" s="50"/>
      <c r="F501" s="51"/>
      <c r="G501" s="52"/>
      <c r="H501" s="53" t="str">
        <f t="shared" si="1"/>
        <v/>
      </c>
    </row>
    <row r="502">
      <c r="A502" s="47"/>
      <c r="C502" s="48"/>
      <c r="D502" s="49"/>
      <c r="E502" s="50"/>
      <c r="F502" s="51"/>
      <c r="G502" s="52"/>
      <c r="H502" s="53" t="str">
        <f t="shared" si="1"/>
        <v/>
      </c>
    </row>
    <row r="503">
      <c r="A503" s="47"/>
      <c r="C503" s="48"/>
      <c r="D503" s="49"/>
      <c r="E503" s="50"/>
      <c r="F503" s="51"/>
      <c r="G503" s="52"/>
      <c r="H503" s="53" t="str">
        <f t="shared" si="1"/>
        <v/>
      </c>
    </row>
    <row r="504">
      <c r="A504" s="47"/>
      <c r="C504" s="48"/>
      <c r="D504" s="49"/>
      <c r="E504" s="50"/>
      <c r="F504" s="51"/>
      <c r="G504" s="52"/>
      <c r="H504" s="53" t="str">
        <f t="shared" si="1"/>
        <v/>
      </c>
    </row>
    <row r="505">
      <c r="A505" s="47"/>
      <c r="C505" s="48"/>
      <c r="D505" s="49"/>
      <c r="E505" s="50"/>
      <c r="F505" s="51"/>
      <c r="G505" s="52"/>
      <c r="H505" s="53" t="str">
        <f t="shared" si="1"/>
        <v/>
      </c>
    </row>
    <row r="506">
      <c r="A506" s="47"/>
      <c r="C506" s="48"/>
      <c r="D506" s="49"/>
      <c r="E506" s="50"/>
      <c r="F506" s="51"/>
      <c r="G506" s="52"/>
      <c r="H506" s="53" t="str">
        <f t="shared" si="1"/>
        <v/>
      </c>
    </row>
    <row r="507">
      <c r="A507" s="47"/>
      <c r="C507" s="48"/>
      <c r="D507" s="49"/>
      <c r="E507" s="50"/>
      <c r="F507" s="51"/>
      <c r="G507" s="52"/>
      <c r="H507" s="53" t="str">
        <f t="shared" si="1"/>
        <v/>
      </c>
    </row>
    <row r="508">
      <c r="A508" s="47"/>
      <c r="C508" s="48"/>
      <c r="D508" s="49"/>
      <c r="E508" s="50"/>
      <c r="F508" s="51"/>
      <c r="G508" s="52"/>
      <c r="H508" s="53" t="str">
        <f t="shared" si="1"/>
        <v/>
      </c>
    </row>
    <row r="509">
      <c r="A509" s="47"/>
      <c r="C509" s="48"/>
      <c r="D509" s="49"/>
      <c r="E509" s="50"/>
      <c r="F509" s="51"/>
      <c r="G509" s="52"/>
      <c r="H509" s="53" t="str">
        <f t="shared" si="1"/>
        <v/>
      </c>
    </row>
    <row r="510">
      <c r="A510" s="47"/>
      <c r="C510" s="48"/>
      <c r="D510" s="49"/>
      <c r="E510" s="50"/>
      <c r="F510" s="51"/>
      <c r="G510" s="52"/>
      <c r="H510" s="53" t="str">
        <f t="shared" si="1"/>
        <v/>
      </c>
    </row>
    <row r="511">
      <c r="A511" s="47"/>
      <c r="C511" s="48"/>
      <c r="D511" s="49"/>
      <c r="E511" s="50"/>
      <c r="F511" s="51"/>
      <c r="G511" s="52"/>
      <c r="H511" s="53" t="str">
        <f t="shared" si="1"/>
        <v/>
      </c>
    </row>
    <row r="512">
      <c r="A512" s="47"/>
      <c r="C512" s="48"/>
      <c r="D512" s="49"/>
      <c r="E512" s="50"/>
      <c r="F512" s="51"/>
      <c r="G512" s="52"/>
      <c r="H512" s="53" t="str">
        <f t="shared" si="1"/>
        <v/>
      </c>
    </row>
    <row r="513">
      <c r="A513" s="47"/>
      <c r="C513" s="48"/>
      <c r="D513" s="49"/>
      <c r="E513" s="50"/>
      <c r="F513" s="51"/>
      <c r="G513" s="52"/>
      <c r="H513" s="53" t="str">
        <f t="shared" si="1"/>
        <v/>
      </c>
    </row>
    <row r="514">
      <c r="A514" s="47"/>
      <c r="C514" s="48"/>
      <c r="D514" s="49"/>
      <c r="E514" s="50"/>
      <c r="F514" s="51"/>
      <c r="G514" s="52"/>
      <c r="H514" s="53" t="str">
        <f t="shared" si="1"/>
        <v/>
      </c>
    </row>
    <row r="515">
      <c r="A515" s="47"/>
      <c r="C515" s="48"/>
      <c r="D515" s="49"/>
      <c r="E515" s="50"/>
      <c r="F515" s="51"/>
      <c r="G515" s="52"/>
      <c r="H515" s="53" t="str">
        <f t="shared" si="1"/>
        <v/>
      </c>
    </row>
    <row r="516">
      <c r="A516" s="47"/>
      <c r="C516" s="48"/>
      <c r="D516" s="49"/>
      <c r="E516" s="50"/>
      <c r="F516" s="51"/>
      <c r="G516" s="52"/>
      <c r="H516" s="53" t="str">
        <f t="shared" si="1"/>
        <v/>
      </c>
    </row>
    <row r="517">
      <c r="A517" s="47"/>
      <c r="C517" s="48"/>
      <c r="D517" s="49"/>
      <c r="E517" s="50"/>
      <c r="F517" s="51"/>
      <c r="G517" s="52"/>
      <c r="H517" s="53" t="str">
        <f t="shared" si="1"/>
        <v/>
      </c>
    </row>
    <row r="518">
      <c r="A518" s="47"/>
      <c r="C518" s="48"/>
      <c r="D518" s="49"/>
      <c r="E518" s="50"/>
      <c r="F518" s="51"/>
      <c r="G518" s="52"/>
      <c r="H518" s="53" t="str">
        <f t="shared" si="1"/>
        <v/>
      </c>
    </row>
    <row r="519">
      <c r="A519" s="47"/>
      <c r="C519" s="48"/>
      <c r="D519" s="49"/>
      <c r="E519" s="50"/>
      <c r="F519" s="51"/>
      <c r="G519" s="52"/>
      <c r="H519" s="53" t="str">
        <f t="shared" si="1"/>
        <v/>
      </c>
    </row>
    <row r="520">
      <c r="A520" s="47"/>
      <c r="C520" s="48"/>
      <c r="D520" s="49"/>
      <c r="E520" s="50"/>
      <c r="F520" s="51"/>
      <c r="G520" s="52"/>
      <c r="H520" s="53" t="str">
        <f t="shared" si="1"/>
        <v/>
      </c>
    </row>
    <row r="521">
      <c r="A521" s="47"/>
      <c r="C521" s="48"/>
      <c r="D521" s="49"/>
      <c r="E521" s="50"/>
      <c r="F521" s="51"/>
      <c r="G521" s="52"/>
      <c r="H521" s="53" t="str">
        <f t="shared" si="1"/>
        <v/>
      </c>
    </row>
    <row r="522">
      <c r="A522" s="47"/>
      <c r="C522" s="48"/>
      <c r="D522" s="49"/>
      <c r="E522" s="50"/>
      <c r="F522" s="51"/>
      <c r="G522" s="52"/>
      <c r="H522" s="53" t="str">
        <f t="shared" si="1"/>
        <v/>
      </c>
    </row>
    <row r="523">
      <c r="A523" s="47"/>
      <c r="C523" s="48"/>
      <c r="D523" s="49"/>
      <c r="E523" s="50"/>
      <c r="F523" s="51"/>
      <c r="G523" s="52"/>
      <c r="H523" s="53" t="str">
        <f t="shared" si="1"/>
        <v/>
      </c>
    </row>
    <row r="524">
      <c r="A524" s="47"/>
      <c r="C524" s="48"/>
      <c r="D524" s="49"/>
      <c r="E524" s="50"/>
      <c r="F524" s="51"/>
      <c r="G524" s="52"/>
      <c r="H524" s="53" t="str">
        <f t="shared" si="1"/>
        <v/>
      </c>
    </row>
    <row r="525">
      <c r="A525" s="47"/>
      <c r="C525" s="48"/>
      <c r="D525" s="49"/>
      <c r="E525" s="50"/>
      <c r="F525" s="51"/>
      <c r="G525" s="52"/>
      <c r="H525" s="53" t="str">
        <f t="shared" si="1"/>
        <v/>
      </c>
    </row>
    <row r="526">
      <c r="A526" s="47"/>
      <c r="C526" s="48"/>
      <c r="D526" s="49"/>
      <c r="E526" s="50"/>
      <c r="F526" s="51"/>
      <c r="G526" s="52"/>
      <c r="H526" s="53" t="str">
        <f t="shared" si="1"/>
        <v/>
      </c>
    </row>
    <row r="527">
      <c r="A527" s="47"/>
      <c r="C527" s="48"/>
      <c r="D527" s="49"/>
      <c r="E527" s="50"/>
      <c r="F527" s="51"/>
      <c r="G527" s="52"/>
      <c r="H527" s="53" t="str">
        <f t="shared" si="1"/>
        <v/>
      </c>
    </row>
    <row r="528">
      <c r="A528" s="47"/>
      <c r="C528" s="48"/>
      <c r="D528" s="49"/>
      <c r="E528" s="50"/>
      <c r="F528" s="51"/>
      <c r="G528" s="52"/>
      <c r="H528" s="53" t="str">
        <f t="shared" si="1"/>
        <v/>
      </c>
    </row>
    <row r="529">
      <c r="A529" s="47"/>
      <c r="C529" s="48"/>
      <c r="D529" s="49"/>
      <c r="E529" s="50"/>
      <c r="F529" s="51"/>
      <c r="G529" s="52"/>
      <c r="H529" s="53" t="str">
        <f t="shared" si="1"/>
        <v/>
      </c>
    </row>
    <row r="530">
      <c r="A530" s="47"/>
      <c r="C530" s="48"/>
      <c r="D530" s="49"/>
      <c r="E530" s="50"/>
      <c r="F530" s="51"/>
      <c r="G530" s="52"/>
      <c r="H530" s="53" t="str">
        <f t="shared" si="1"/>
        <v/>
      </c>
    </row>
    <row r="531">
      <c r="A531" s="47"/>
      <c r="C531" s="48"/>
      <c r="D531" s="49"/>
      <c r="E531" s="50"/>
      <c r="F531" s="51"/>
      <c r="G531" s="52"/>
      <c r="H531" s="53" t="str">
        <f t="shared" si="1"/>
        <v/>
      </c>
    </row>
    <row r="532">
      <c r="A532" s="47"/>
      <c r="C532" s="48"/>
      <c r="D532" s="49"/>
      <c r="E532" s="50"/>
      <c r="F532" s="51"/>
      <c r="G532" s="52"/>
      <c r="H532" s="53" t="str">
        <f t="shared" si="1"/>
        <v/>
      </c>
    </row>
    <row r="533">
      <c r="A533" s="47"/>
      <c r="C533" s="48"/>
      <c r="D533" s="49"/>
      <c r="E533" s="50"/>
      <c r="F533" s="51"/>
      <c r="G533" s="52"/>
      <c r="H533" s="53" t="str">
        <f t="shared" si="1"/>
        <v/>
      </c>
    </row>
    <row r="534">
      <c r="A534" s="47"/>
      <c r="C534" s="48"/>
      <c r="D534" s="49"/>
      <c r="E534" s="50"/>
      <c r="F534" s="51"/>
      <c r="G534" s="52"/>
      <c r="H534" s="53" t="str">
        <f t="shared" si="1"/>
        <v/>
      </c>
    </row>
    <row r="535">
      <c r="A535" s="47"/>
      <c r="C535" s="48"/>
      <c r="D535" s="49"/>
      <c r="E535" s="50"/>
      <c r="F535" s="51"/>
      <c r="G535" s="52"/>
      <c r="H535" s="53" t="str">
        <f t="shared" si="1"/>
        <v/>
      </c>
    </row>
    <row r="536">
      <c r="A536" s="47"/>
      <c r="C536" s="48"/>
      <c r="D536" s="49"/>
      <c r="E536" s="50"/>
      <c r="F536" s="51"/>
      <c r="G536" s="52"/>
      <c r="H536" s="53" t="str">
        <f t="shared" si="1"/>
        <v/>
      </c>
    </row>
    <row r="537">
      <c r="A537" s="47"/>
      <c r="C537" s="48"/>
      <c r="D537" s="49"/>
      <c r="E537" s="50"/>
      <c r="F537" s="51"/>
      <c r="G537" s="52"/>
      <c r="H537" s="53" t="str">
        <f t="shared" si="1"/>
        <v/>
      </c>
    </row>
    <row r="538">
      <c r="A538" s="47"/>
      <c r="C538" s="48"/>
      <c r="D538" s="49"/>
      <c r="E538" s="50"/>
      <c r="F538" s="51"/>
      <c r="G538" s="52"/>
      <c r="H538" s="53" t="str">
        <f t="shared" si="1"/>
        <v/>
      </c>
    </row>
    <row r="539">
      <c r="A539" s="47"/>
      <c r="C539" s="48"/>
      <c r="D539" s="49"/>
      <c r="E539" s="50"/>
      <c r="F539" s="51"/>
      <c r="G539" s="52"/>
      <c r="H539" s="53" t="str">
        <f t="shared" si="1"/>
        <v/>
      </c>
    </row>
    <row r="540">
      <c r="A540" s="47"/>
      <c r="C540" s="48"/>
      <c r="D540" s="49"/>
      <c r="E540" s="50"/>
      <c r="F540" s="51"/>
      <c r="G540" s="52"/>
      <c r="H540" s="53" t="str">
        <f t="shared" si="1"/>
        <v/>
      </c>
    </row>
    <row r="541">
      <c r="A541" s="47"/>
      <c r="C541" s="48"/>
      <c r="D541" s="49"/>
      <c r="E541" s="50"/>
      <c r="F541" s="51"/>
      <c r="G541" s="52"/>
      <c r="H541" s="53" t="str">
        <f t="shared" si="1"/>
        <v/>
      </c>
    </row>
    <row r="542">
      <c r="A542" s="47"/>
      <c r="C542" s="48"/>
      <c r="D542" s="49"/>
      <c r="E542" s="50"/>
      <c r="F542" s="51"/>
      <c r="G542" s="52"/>
      <c r="H542" s="53" t="str">
        <f t="shared" si="1"/>
        <v/>
      </c>
    </row>
    <row r="543">
      <c r="A543" s="47"/>
      <c r="C543" s="48"/>
      <c r="D543" s="49"/>
      <c r="E543" s="50"/>
      <c r="F543" s="51"/>
      <c r="G543" s="52"/>
      <c r="H543" s="53" t="str">
        <f t="shared" si="1"/>
        <v/>
      </c>
    </row>
    <row r="544">
      <c r="A544" s="47"/>
      <c r="C544" s="48"/>
      <c r="D544" s="49"/>
      <c r="E544" s="50"/>
      <c r="F544" s="51"/>
      <c r="G544" s="52"/>
      <c r="H544" s="53" t="str">
        <f t="shared" si="1"/>
        <v/>
      </c>
    </row>
    <row r="545">
      <c r="A545" s="47"/>
      <c r="C545" s="48"/>
      <c r="D545" s="49"/>
      <c r="E545" s="50"/>
      <c r="F545" s="51"/>
      <c r="G545" s="52"/>
      <c r="H545" s="53" t="str">
        <f t="shared" si="1"/>
        <v/>
      </c>
    </row>
    <row r="546">
      <c r="A546" s="47"/>
      <c r="C546" s="48"/>
      <c r="D546" s="49"/>
      <c r="E546" s="50"/>
      <c r="F546" s="51"/>
      <c r="G546" s="52"/>
      <c r="H546" s="53" t="str">
        <f t="shared" si="1"/>
        <v/>
      </c>
    </row>
    <row r="547">
      <c r="A547" s="47"/>
      <c r="C547" s="48"/>
      <c r="D547" s="49"/>
      <c r="E547" s="50"/>
      <c r="F547" s="51"/>
      <c r="G547" s="52"/>
      <c r="H547" s="53" t="str">
        <f t="shared" si="1"/>
        <v/>
      </c>
    </row>
    <row r="548">
      <c r="A548" s="47"/>
      <c r="C548" s="48"/>
      <c r="D548" s="49"/>
      <c r="E548" s="50"/>
      <c r="F548" s="51"/>
      <c r="G548" s="52"/>
      <c r="H548" s="53" t="str">
        <f t="shared" si="1"/>
        <v/>
      </c>
    </row>
    <row r="549">
      <c r="A549" s="47"/>
      <c r="C549" s="48"/>
      <c r="D549" s="49"/>
      <c r="E549" s="50"/>
      <c r="F549" s="51"/>
      <c r="G549" s="52"/>
      <c r="H549" s="53" t="str">
        <f t="shared" si="1"/>
        <v/>
      </c>
    </row>
    <row r="550">
      <c r="A550" s="47"/>
      <c r="C550" s="48"/>
      <c r="D550" s="49"/>
      <c r="E550" s="50"/>
      <c r="F550" s="51"/>
      <c r="G550" s="52"/>
      <c r="H550" s="53" t="str">
        <f t="shared" si="1"/>
        <v/>
      </c>
    </row>
    <row r="551">
      <c r="A551" s="47"/>
      <c r="C551" s="48"/>
      <c r="D551" s="49"/>
      <c r="E551" s="50"/>
      <c r="F551" s="51"/>
      <c r="G551" s="52"/>
      <c r="H551" s="53" t="str">
        <f t="shared" si="1"/>
        <v/>
      </c>
    </row>
    <row r="552">
      <c r="A552" s="47"/>
      <c r="C552" s="48"/>
      <c r="D552" s="49"/>
      <c r="E552" s="50"/>
      <c r="F552" s="51"/>
      <c r="G552" s="52"/>
      <c r="H552" s="53" t="str">
        <f t="shared" si="1"/>
        <v/>
      </c>
    </row>
    <row r="553">
      <c r="A553" s="47"/>
      <c r="C553" s="48"/>
      <c r="D553" s="49"/>
      <c r="E553" s="50"/>
      <c r="F553" s="51"/>
      <c r="G553" s="52"/>
      <c r="H553" s="53" t="str">
        <f t="shared" si="1"/>
        <v/>
      </c>
    </row>
    <row r="554">
      <c r="A554" s="47"/>
      <c r="C554" s="48"/>
      <c r="D554" s="49"/>
      <c r="E554" s="50"/>
      <c r="F554" s="51"/>
      <c r="G554" s="52"/>
      <c r="H554" s="53" t="str">
        <f t="shared" si="1"/>
        <v/>
      </c>
    </row>
    <row r="555">
      <c r="A555" s="47"/>
      <c r="C555" s="48"/>
      <c r="D555" s="49"/>
      <c r="E555" s="50"/>
      <c r="F555" s="51"/>
      <c r="G555" s="52"/>
      <c r="H555" s="53" t="str">
        <f t="shared" si="1"/>
        <v/>
      </c>
    </row>
    <row r="556">
      <c r="A556" s="47"/>
      <c r="C556" s="48"/>
      <c r="D556" s="49"/>
      <c r="E556" s="50"/>
      <c r="F556" s="51"/>
      <c r="G556" s="52"/>
      <c r="H556" s="53" t="str">
        <f t="shared" si="1"/>
        <v/>
      </c>
    </row>
    <row r="557">
      <c r="A557" s="47"/>
      <c r="C557" s="48"/>
      <c r="D557" s="49"/>
      <c r="E557" s="50"/>
      <c r="F557" s="51"/>
      <c r="G557" s="52"/>
      <c r="H557" s="53" t="str">
        <f t="shared" si="1"/>
        <v/>
      </c>
    </row>
    <row r="558">
      <c r="A558" s="47"/>
      <c r="C558" s="48"/>
      <c r="D558" s="49"/>
      <c r="E558" s="50"/>
      <c r="F558" s="51"/>
      <c r="G558" s="52"/>
      <c r="H558" s="53" t="str">
        <f t="shared" si="1"/>
        <v/>
      </c>
    </row>
    <row r="559">
      <c r="A559" s="47"/>
      <c r="C559" s="48"/>
      <c r="D559" s="49"/>
      <c r="E559" s="50"/>
      <c r="F559" s="51"/>
      <c r="G559" s="52"/>
      <c r="H559" s="53" t="str">
        <f t="shared" si="1"/>
        <v/>
      </c>
    </row>
    <row r="560">
      <c r="A560" s="47"/>
      <c r="C560" s="48"/>
      <c r="D560" s="49"/>
      <c r="E560" s="50"/>
      <c r="F560" s="51"/>
      <c r="G560" s="52"/>
      <c r="H560" s="53" t="str">
        <f t="shared" si="1"/>
        <v/>
      </c>
    </row>
    <row r="561">
      <c r="A561" s="47"/>
      <c r="C561" s="48"/>
      <c r="D561" s="49"/>
      <c r="E561" s="50"/>
      <c r="F561" s="51"/>
      <c r="G561" s="52"/>
      <c r="H561" s="53" t="str">
        <f t="shared" si="1"/>
        <v/>
      </c>
    </row>
    <row r="562">
      <c r="A562" s="47"/>
      <c r="C562" s="48"/>
      <c r="D562" s="49"/>
      <c r="E562" s="50"/>
      <c r="F562" s="51"/>
      <c r="G562" s="52"/>
      <c r="H562" s="53" t="str">
        <f t="shared" si="1"/>
        <v/>
      </c>
    </row>
    <row r="563">
      <c r="A563" s="47"/>
      <c r="C563" s="48"/>
      <c r="D563" s="49"/>
      <c r="E563" s="50"/>
      <c r="F563" s="51"/>
      <c r="G563" s="52"/>
      <c r="H563" s="53" t="str">
        <f t="shared" si="1"/>
        <v/>
      </c>
    </row>
    <row r="564">
      <c r="A564" s="47"/>
      <c r="C564" s="48"/>
      <c r="D564" s="49"/>
      <c r="E564" s="50"/>
      <c r="F564" s="51"/>
      <c r="G564" s="52"/>
      <c r="H564" s="53" t="str">
        <f t="shared" si="1"/>
        <v/>
      </c>
    </row>
    <row r="565">
      <c r="A565" s="47"/>
      <c r="C565" s="48"/>
      <c r="D565" s="49"/>
      <c r="E565" s="50"/>
      <c r="F565" s="51"/>
      <c r="G565" s="52"/>
      <c r="H565" s="53" t="str">
        <f t="shared" si="1"/>
        <v/>
      </c>
    </row>
    <row r="566">
      <c r="A566" s="47"/>
      <c r="C566" s="48"/>
      <c r="D566" s="49"/>
      <c r="E566" s="50"/>
      <c r="F566" s="51"/>
      <c r="G566" s="52"/>
      <c r="H566" s="53" t="str">
        <f t="shared" si="1"/>
        <v/>
      </c>
    </row>
    <row r="567">
      <c r="A567" s="47"/>
      <c r="C567" s="48"/>
      <c r="D567" s="49"/>
      <c r="E567" s="50"/>
      <c r="F567" s="51"/>
      <c r="G567" s="52"/>
      <c r="H567" s="53" t="str">
        <f t="shared" si="1"/>
        <v/>
      </c>
    </row>
    <row r="568">
      <c r="A568" s="47"/>
      <c r="C568" s="48"/>
      <c r="D568" s="49"/>
      <c r="E568" s="50"/>
      <c r="F568" s="51"/>
      <c r="G568" s="52"/>
      <c r="H568" s="53" t="str">
        <f t="shared" si="1"/>
        <v/>
      </c>
    </row>
    <row r="569">
      <c r="A569" s="47"/>
      <c r="C569" s="48"/>
      <c r="D569" s="49"/>
      <c r="E569" s="50"/>
      <c r="F569" s="51"/>
      <c r="G569" s="52"/>
      <c r="H569" s="53" t="str">
        <f t="shared" si="1"/>
        <v/>
      </c>
    </row>
    <row r="570">
      <c r="A570" s="47"/>
      <c r="C570" s="48"/>
      <c r="D570" s="49"/>
      <c r="E570" s="50"/>
      <c r="F570" s="51"/>
      <c r="G570" s="52"/>
      <c r="H570" s="53" t="str">
        <f t="shared" si="1"/>
        <v/>
      </c>
    </row>
    <row r="571">
      <c r="A571" s="47"/>
      <c r="C571" s="48"/>
      <c r="D571" s="49"/>
      <c r="E571" s="50"/>
      <c r="F571" s="51"/>
      <c r="G571" s="52"/>
      <c r="H571" s="53" t="str">
        <f t="shared" si="1"/>
        <v/>
      </c>
    </row>
    <row r="572">
      <c r="A572" s="47"/>
      <c r="C572" s="48"/>
      <c r="D572" s="49"/>
      <c r="E572" s="50"/>
      <c r="F572" s="51"/>
      <c r="G572" s="52"/>
      <c r="H572" s="53" t="str">
        <f t="shared" si="1"/>
        <v/>
      </c>
    </row>
    <row r="573">
      <c r="A573" s="47"/>
      <c r="C573" s="48"/>
      <c r="D573" s="49"/>
      <c r="E573" s="50"/>
      <c r="F573" s="51"/>
      <c r="G573" s="52"/>
      <c r="H573" s="53" t="str">
        <f t="shared" si="1"/>
        <v/>
      </c>
    </row>
    <row r="574">
      <c r="A574" s="47"/>
      <c r="C574" s="48"/>
      <c r="D574" s="49"/>
      <c r="E574" s="50"/>
      <c r="F574" s="51"/>
      <c r="G574" s="52"/>
      <c r="H574" s="53" t="str">
        <f t="shared" si="1"/>
        <v/>
      </c>
    </row>
    <row r="575">
      <c r="A575" s="47"/>
      <c r="C575" s="48"/>
      <c r="D575" s="49"/>
      <c r="E575" s="50"/>
      <c r="F575" s="51"/>
      <c r="G575" s="52"/>
      <c r="H575" s="53" t="str">
        <f t="shared" si="1"/>
        <v/>
      </c>
    </row>
    <row r="576">
      <c r="A576" s="47"/>
      <c r="C576" s="48"/>
      <c r="D576" s="49"/>
      <c r="E576" s="50"/>
      <c r="F576" s="51"/>
      <c r="G576" s="52"/>
      <c r="H576" s="53" t="str">
        <f t="shared" si="1"/>
        <v/>
      </c>
    </row>
    <row r="577">
      <c r="A577" s="47"/>
      <c r="C577" s="48"/>
      <c r="D577" s="49"/>
      <c r="E577" s="50"/>
      <c r="F577" s="51"/>
      <c r="G577" s="52"/>
      <c r="H577" s="53" t="str">
        <f t="shared" si="1"/>
        <v/>
      </c>
    </row>
    <row r="578">
      <c r="A578" s="47"/>
      <c r="C578" s="48"/>
      <c r="D578" s="49"/>
      <c r="E578" s="50"/>
      <c r="F578" s="51"/>
      <c r="G578" s="52"/>
      <c r="H578" s="53" t="str">
        <f t="shared" si="1"/>
        <v/>
      </c>
    </row>
    <row r="579">
      <c r="A579" s="47"/>
      <c r="C579" s="48"/>
      <c r="D579" s="49"/>
      <c r="E579" s="50"/>
      <c r="F579" s="51"/>
      <c r="G579" s="52"/>
      <c r="H579" s="53" t="str">
        <f t="shared" si="1"/>
        <v/>
      </c>
    </row>
    <row r="580">
      <c r="A580" s="47"/>
      <c r="C580" s="48"/>
      <c r="D580" s="49"/>
      <c r="E580" s="50"/>
      <c r="F580" s="51"/>
      <c r="G580" s="52"/>
      <c r="H580" s="53" t="str">
        <f t="shared" si="1"/>
        <v/>
      </c>
    </row>
    <row r="581">
      <c r="A581" s="47"/>
      <c r="C581" s="48"/>
      <c r="D581" s="49"/>
      <c r="E581" s="50"/>
      <c r="F581" s="51"/>
      <c r="G581" s="52"/>
      <c r="H581" s="53" t="str">
        <f t="shared" si="1"/>
        <v/>
      </c>
    </row>
    <row r="582">
      <c r="A582" s="47"/>
      <c r="C582" s="48"/>
      <c r="D582" s="49"/>
      <c r="E582" s="50"/>
      <c r="F582" s="51"/>
      <c r="G582" s="52"/>
      <c r="H582" s="53" t="str">
        <f t="shared" si="1"/>
        <v/>
      </c>
    </row>
    <row r="583">
      <c r="A583" s="47"/>
      <c r="C583" s="48"/>
      <c r="D583" s="49"/>
      <c r="E583" s="50"/>
      <c r="F583" s="51"/>
      <c r="G583" s="52"/>
      <c r="H583" s="53" t="str">
        <f t="shared" si="1"/>
        <v/>
      </c>
    </row>
    <row r="584">
      <c r="A584" s="47"/>
      <c r="C584" s="48"/>
      <c r="D584" s="49"/>
      <c r="E584" s="50"/>
      <c r="F584" s="51"/>
      <c r="G584" s="52"/>
      <c r="H584" s="53" t="str">
        <f t="shared" si="1"/>
        <v/>
      </c>
    </row>
    <row r="585">
      <c r="A585" s="47"/>
      <c r="C585" s="48"/>
      <c r="D585" s="49"/>
      <c r="E585" s="50"/>
      <c r="F585" s="51"/>
      <c r="G585" s="52"/>
      <c r="H585" s="53" t="str">
        <f t="shared" si="1"/>
        <v/>
      </c>
    </row>
    <row r="586">
      <c r="A586" s="47"/>
      <c r="C586" s="48"/>
      <c r="D586" s="49"/>
      <c r="E586" s="50"/>
      <c r="F586" s="51"/>
      <c r="G586" s="52"/>
      <c r="H586" s="53" t="str">
        <f t="shared" si="1"/>
        <v/>
      </c>
    </row>
    <row r="587">
      <c r="A587" s="47"/>
      <c r="C587" s="48"/>
      <c r="D587" s="49"/>
      <c r="E587" s="50"/>
      <c r="F587" s="51"/>
      <c r="G587" s="52"/>
      <c r="H587" s="53" t="str">
        <f t="shared" si="1"/>
        <v/>
      </c>
    </row>
    <row r="588">
      <c r="A588" s="47"/>
      <c r="C588" s="48"/>
      <c r="D588" s="49"/>
      <c r="E588" s="50"/>
      <c r="F588" s="51"/>
      <c r="G588" s="52"/>
      <c r="H588" s="53" t="str">
        <f t="shared" si="1"/>
        <v/>
      </c>
    </row>
    <row r="589">
      <c r="A589" s="47"/>
      <c r="C589" s="48"/>
      <c r="D589" s="49"/>
      <c r="E589" s="50"/>
      <c r="F589" s="51"/>
      <c r="G589" s="52"/>
      <c r="H589" s="53" t="str">
        <f t="shared" si="1"/>
        <v/>
      </c>
    </row>
    <row r="590">
      <c r="A590" s="47"/>
      <c r="C590" s="48"/>
      <c r="D590" s="49"/>
      <c r="E590" s="50"/>
      <c r="F590" s="51"/>
      <c r="G590" s="52"/>
      <c r="H590" s="53" t="str">
        <f t="shared" si="1"/>
        <v/>
      </c>
    </row>
    <row r="591">
      <c r="A591" s="47"/>
      <c r="C591" s="48"/>
      <c r="D591" s="49"/>
      <c r="E591" s="50"/>
      <c r="F591" s="51"/>
      <c r="G591" s="52"/>
      <c r="H591" s="53" t="str">
        <f t="shared" si="1"/>
        <v/>
      </c>
    </row>
    <row r="592">
      <c r="A592" s="47"/>
      <c r="C592" s="48"/>
      <c r="D592" s="49"/>
      <c r="E592" s="50"/>
      <c r="F592" s="51"/>
      <c r="G592" s="52"/>
      <c r="H592" s="53" t="str">
        <f t="shared" si="1"/>
        <v/>
      </c>
    </row>
    <row r="593">
      <c r="A593" s="47"/>
      <c r="C593" s="48"/>
      <c r="D593" s="49"/>
      <c r="E593" s="50"/>
      <c r="F593" s="51"/>
      <c r="G593" s="52"/>
      <c r="H593" s="53" t="str">
        <f t="shared" si="1"/>
        <v/>
      </c>
    </row>
    <row r="594">
      <c r="A594" s="47"/>
      <c r="C594" s="48"/>
      <c r="D594" s="49"/>
      <c r="E594" s="50"/>
      <c r="F594" s="51"/>
      <c r="G594" s="52"/>
      <c r="H594" s="53" t="str">
        <f t="shared" si="1"/>
        <v/>
      </c>
    </row>
    <row r="595">
      <c r="A595" s="47"/>
      <c r="C595" s="48"/>
      <c r="D595" s="49"/>
      <c r="E595" s="50"/>
      <c r="F595" s="51"/>
      <c r="G595" s="52"/>
      <c r="H595" s="53" t="str">
        <f t="shared" si="1"/>
        <v/>
      </c>
    </row>
    <row r="596">
      <c r="A596" s="47"/>
      <c r="C596" s="48"/>
      <c r="D596" s="49"/>
      <c r="E596" s="50"/>
      <c r="F596" s="51"/>
      <c r="G596" s="52"/>
      <c r="H596" s="53" t="str">
        <f t="shared" si="1"/>
        <v/>
      </c>
    </row>
    <row r="597">
      <c r="A597" s="47"/>
      <c r="C597" s="48"/>
      <c r="D597" s="49"/>
      <c r="E597" s="50"/>
      <c r="F597" s="51"/>
      <c r="G597" s="52"/>
      <c r="H597" s="53" t="str">
        <f t="shared" si="1"/>
        <v/>
      </c>
    </row>
    <row r="598">
      <c r="A598" s="47"/>
      <c r="C598" s="48"/>
      <c r="D598" s="49"/>
      <c r="E598" s="50"/>
      <c r="F598" s="51"/>
      <c r="G598" s="52"/>
      <c r="H598" s="53" t="str">
        <f t="shared" si="1"/>
        <v/>
      </c>
    </row>
    <row r="599">
      <c r="A599" s="47"/>
      <c r="C599" s="48"/>
      <c r="D599" s="49"/>
      <c r="E599" s="50"/>
      <c r="F599" s="51"/>
      <c r="G599" s="52"/>
      <c r="H599" s="53" t="str">
        <f t="shared" si="1"/>
        <v/>
      </c>
    </row>
    <row r="600">
      <c r="A600" s="47"/>
      <c r="C600" s="48"/>
      <c r="D600" s="49"/>
      <c r="E600" s="50"/>
      <c r="F600" s="51"/>
      <c r="G600" s="52"/>
      <c r="H600" s="53" t="str">
        <f t="shared" si="1"/>
        <v/>
      </c>
    </row>
    <row r="601">
      <c r="A601" s="47"/>
      <c r="C601" s="48"/>
      <c r="D601" s="49"/>
      <c r="E601" s="50"/>
      <c r="F601" s="51"/>
      <c r="G601" s="52"/>
      <c r="H601" s="53" t="str">
        <f t="shared" si="1"/>
        <v/>
      </c>
    </row>
    <row r="602">
      <c r="A602" s="47"/>
      <c r="C602" s="48"/>
      <c r="D602" s="49"/>
      <c r="E602" s="50"/>
      <c r="F602" s="51"/>
      <c r="G602" s="52"/>
      <c r="H602" s="53" t="str">
        <f t="shared" si="1"/>
        <v/>
      </c>
    </row>
    <row r="603">
      <c r="A603" s="47"/>
      <c r="C603" s="48"/>
      <c r="D603" s="49"/>
      <c r="E603" s="50"/>
      <c r="F603" s="51"/>
      <c r="G603" s="52"/>
      <c r="H603" s="53" t="str">
        <f t="shared" si="1"/>
        <v/>
      </c>
    </row>
    <row r="604">
      <c r="A604" s="47"/>
      <c r="C604" s="48"/>
      <c r="D604" s="49"/>
      <c r="E604" s="50"/>
      <c r="F604" s="51"/>
      <c r="G604" s="52"/>
      <c r="H604" s="53" t="str">
        <f t="shared" si="1"/>
        <v/>
      </c>
    </row>
    <row r="605">
      <c r="A605" s="47"/>
      <c r="C605" s="48"/>
      <c r="D605" s="49"/>
      <c r="E605" s="50"/>
      <c r="F605" s="51"/>
      <c r="G605" s="52"/>
      <c r="H605" s="53" t="str">
        <f t="shared" si="1"/>
        <v/>
      </c>
    </row>
    <row r="606">
      <c r="A606" s="47"/>
      <c r="C606" s="48"/>
      <c r="D606" s="49"/>
      <c r="E606" s="50"/>
      <c r="F606" s="51"/>
      <c r="G606" s="52"/>
      <c r="H606" s="53" t="str">
        <f t="shared" si="1"/>
        <v/>
      </c>
    </row>
    <row r="607">
      <c r="A607" s="47"/>
      <c r="C607" s="48"/>
      <c r="D607" s="49"/>
      <c r="E607" s="50"/>
      <c r="F607" s="51"/>
      <c r="G607" s="52"/>
      <c r="H607" s="53" t="str">
        <f t="shared" si="1"/>
        <v/>
      </c>
    </row>
    <row r="608">
      <c r="A608" s="47"/>
      <c r="C608" s="48"/>
      <c r="D608" s="49"/>
      <c r="E608" s="50"/>
      <c r="F608" s="51"/>
      <c r="G608" s="52"/>
      <c r="H608" s="53" t="str">
        <f t="shared" si="1"/>
        <v/>
      </c>
    </row>
    <row r="609">
      <c r="A609" s="47"/>
      <c r="C609" s="48"/>
      <c r="D609" s="49"/>
      <c r="E609" s="50"/>
      <c r="F609" s="51"/>
      <c r="G609" s="52"/>
      <c r="H609" s="53" t="str">
        <f t="shared" si="1"/>
        <v/>
      </c>
    </row>
    <row r="610">
      <c r="A610" s="47"/>
      <c r="C610" s="48"/>
      <c r="D610" s="49"/>
      <c r="E610" s="50"/>
      <c r="F610" s="51"/>
      <c r="G610" s="52"/>
      <c r="H610" s="53" t="str">
        <f t="shared" si="1"/>
        <v/>
      </c>
    </row>
    <row r="611">
      <c r="A611" s="47"/>
      <c r="C611" s="48"/>
      <c r="D611" s="49"/>
      <c r="E611" s="50"/>
      <c r="F611" s="51"/>
      <c r="G611" s="52"/>
      <c r="H611" s="53" t="str">
        <f t="shared" si="1"/>
        <v/>
      </c>
    </row>
    <row r="612">
      <c r="A612" s="47"/>
      <c r="C612" s="48"/>
      <c r="D612" s="49"/>
      <c r="E612" s="50"/>
      <c r="F612" s="51"/>
      <c r="G612" s="52"/>
      <c r="H612" s="53" t="str">
        <f t="shared" si="1"/>
        <v/>
      </c>
    </row>
    <row r="613">
      <c r="A613" s="47"/>
      <c r="C613" s="48"/>
      <c r="D613" s="49"/>
      <c r="E613" s="50"/>
      <c r="F613" s="51"/>
      <c r="G613" s="52"/>
      <c r="H613" s="53" t="str">
        <f t="shared" si="1"/>
        <v/>
      </c>
    </row>
    <row r="614">
      <c r="A614" s="47"/>
      <c r="C614" s="48"/>
      <c r="D614" s="49"/>
      <c r="E614" s="50"/>
      <c r="F614" s="51"/>
      <c r="G614" s="52"/>
      <c r="H614" s="53" t="str">
        <f t="shared" si="1"/>
        <v/>
      </c>
    </row>
    <row r="615">
      <c r="A615" s="47"/>
      <c r="C615" s="48"/>
      <c r="D615" s="49"/>
      <c r="E615" s="50"/>
      <c r="F615" s="51"/>
      <c r="G615" s="52"/>
      <c r="H615" s="53" t="str">
        <f t="shared" si="1"/>
        <v/>
      </c>
    </row>
    <row r="616">
      <c r="A616" s="47"/>
      <c r="C616" s="48"/>
      <c r="D616" s="49"/>
      <c r="E616" s="50"/>
      <c r="F616" s="51"/>
      <c r="G616" s="52"/>
      <c r="H616" s="53" t="str">
        <f t="shared" si="1"/>
        <v/>
      </c>
    </row>
    <row r="617">
      <c r="A617" s="47"/>
      <c r="C617" s="48"/>
      <c r="D617" s="49"/>
      <c r="E617" s="50"/>
      <c r="F617" s="51"/>
      <c r="G617" s="52"/>
      <c r="H617" s="53" t="str">
        <f t="shared" si="1"/>
        <v/>
      </c>
    </row>
    <row r="618">
      <c r="A618" s="47"/>
      <c r="C618" s="48"/>
      <c r="D618" s="49"/>
      <c r="E618" s="50"/>
      <c r="F618" s="51"/>
      <c r="G618" s="52"/>
      <c r="H618" s="53" t="str">
        <f t="shared" si="1"/>
        <v/>
      </c>
    </row>
    <row r="619">
      <c r="A619" s="47"/>
      <c r="C619" s="48"/>
      <c r="D619" s="49"/>
      <c r="E619" s="50"/>
      <c r="F619" s="51"/>
      <c r="G619" s="52"/>
      <c r="H619" s="53" t="str">
        <f t="shared" si="1"/>
        <v/>
      </c>
    </row>
    <row r="620">
      <c r="A620" s="47"/>
      <c r="C620" s="48"/>
      <c r="D620" s="49"/>
      <c r="E620" s="50"/>
      <c r="F620" s="51"/>
      <c r="G620" s="52"/>
      <c r="H620" s="53" t="str">
        <f t="shared" si="1"/>
        <v/>
      </c>
    </row>
    <row r="621">
      <c r="A621" s="47"/>
      <c r="C621" s="48"/>
      <c r="D621" s="49"/>
      <c r="E621" s="50"/>
      <c r="F621" s="51"/>
      <c r="G621" s="52"/>
      <c r="H621" s="53" t="str">
        <f t="shared" si="1"/>
        <v/>
      </c>
    </row>
    <row r="622">
      <c r="A622" s="47"/>
      <c r="C622" s="48"/>
      <c r="D622" s="49"/>
      <c r="E622" s="50"/>
      <c r="F622" s="51"/>
      <c r="G622" s="52"/>
      <c r="H622" s="53" t="str">
        <f t="shared" si="1"/>
        <v/>
      </c>
    </row>
    <row r="623">
      <c r="A623" s="47"/>
      <c r="C623" s="48"/>
      <c r="D623" s="49"/>
      <c r="E623" s="50"/>
      <c r="F623" s="51"/>
      <c r="G623" s="52"/>
      <c r="H623" s="53" t="str">
        <f t="shared" si="1"/>
        <v/>
      </c>
    </row>
    <row r="624">
      <c r="A624" s="47"/>
      <c r="C624" s="48"/>
      <c r="D624" s="49"/>
      <c r="E624" s="50"/>
      <c r="F624" s="51"/>
      <c r="G624" s="52"/>
      <c r="H624" s="53" t="str">
        <f t="shared" si="1"/>
        <v/>
      </c>
    </row>
    <row r="625">
      <c r="A625" s="47"/>
      <c r="C625" s="48"/>
      <c r="D625" s="49"/>
      <c r="E625" s="50"/>
      <c r="F625" s="51"/>
      <c r="G625" s="52"/>
      <c r="H625" s="53" t="str">
        <f t="shared" si="1"/>
        <v/>
      </c>
    </row>
    <row r="626">
      <c r="A626" s="47"/>
      <c r="C626" s="48"/>
      <c r="D626" s="49"/>
      <c r="E626" s="50"/>
      <c r="F626" s="51"/>
      <c r="G626" s="52"/>
      <c r="H626" s="53" t="str">
        <f t="shared" si="1"/>
        <v/>
      </c>
    </row>
    <row r="627">
      <c r="A627" s="47"/>
      <c r="C627" s="48"/>
      <c r="D627" s="49"/>
      <c r="E627" s="50"/>
      <c r="F627" s="51"/>
      <c r="G627" s="52"/>
      <c r="H627" s="53" t="str">
        <f t="shared" si="1"/>
        <v/>
      </c>
    </row>
    <row r="628">
      <c r="A628" s="47"/>
      <c r="C628" s="48"/>
      <c r="D628" s="49"/>
      <c r="E628" s="50"/>
      <c r="F628" s="51"/>
      <c r="G628" s="52"/>
      <c r="H628" s="53" t="str">
        <f t="shared" si="1"/>
        <v/>
      </c>
    </row>
    <row r="629">
      <c r="A629" s="47"/>
      <c r="C629" s="48"/>
      <c r="D629" s="49"/>
      <c r="E629" s="50"/>
      <c r="F629" s="51"/>
      <c r="G629" s="52"/>
      <c r="H629" s="53" t="str">
        <f t="shared" si="1"/>
        <v/>
      </c>
    </row>
    <row r="630">
      <c r="A630" s="47"/>
      <c r="C630" s="48"/>
      <c r="D630" s="49"/>
      <c r="E630" s="50"/>
      <c r="F630" s="51"/>
      <c r="G630" s="52"/>
      <c r="H630" s="53" t="str">
        <f t="shared" si="1"/>
        <v/>
      </c>
    </row>
    <row r="631">
      <c r="A631" s="47"/>
      <c r="C631" s="48"/>
      <c r="D631" s="49"/>
      <c r="E631" s="50"/>
      <c r="F631" s="51"/>
      <c r="G631" s="52"/>
      <c r="H631" s="53" t="str">
        <f t="shared" si="1"/>
        <v/>
      </c>
    </row>
    <row r="632">
      <c r="A632" s="47"/>
      <c r="C632" s="48"/>
      <c r="D632" s="49"/>
      <c r="E632" s="50"/>
      <c r="F632" s="51"/>
      <c r="G632" s="52"/>
      <c r="H632" s="53" t="str">
        <f t="shared" si="1"/>
        <v/>
      </c>
    </row>
    <row r="633">
      <c r="A633" s="47"/>
      <c r="C633" s="48"/>
      <c r="D633" s="49"/>
      <c r="E633" s="50"/>
      <c r="F633" s="51"/>
      <c r="G633" s="52"/>
      <c r="H633" s="53" t="str">
        <f t="shared" si="1"/>
        <v/>
      </c>
    </row>
    <row r="634">
      <c r="A634" s="47"/>
      <c r="C634" s="48"/>
      <c r="D634" s="49"/>
      <c r="E634" s="50"/>
      <c r="F634" s="51"/>
      <c r="G634" s="52"/>
      <c r="H634" s="53" t="str">
        <f t="shared" si="1"/>
        <v/>
      </c>
    </row>
    <row r="635">
      <c r="A635" s="47"/>
      <c r="C635" s="48"/>
      <c r="D635" s="49"/>
      <c r="E635" s="50"/>
      <c r="F635" s="51"/>
      <c r="G635" s="52"/>
      <c r="H635" s="53" t="str">
        <f t="shared" si="1"/>
        <v/>
      </c>
    </row>
    <row r="636">
      <c r="A636" s="47"/>
      <c r="C636" s="48"/>
      <c r="D636" s="49"/>
      <c r="E636" s="50"/>
      <c r="F636" s="51"/>
      <c r="G636" s="52"/>
      <c r="H636" s="53" t="str">
        <f t="shared" si="1"/>
        <v/>
      </c>
    </row>
    <row r="637">
      <c r="A637" s="47"/>
      <c r="C637" s="48"/>
      <c r="D637" s="49"/>
      <c r="E637" s="50"/>
      <c r="F637" s="51"/>
      <c r="G637" s="52"/>
      <c r="H637" s="53" t="str">
        <f t="shared" si="1"/>
        <v/>
      </c>
    </row>
    <row r="638">
      <c r="A638" s="47"/>
      <c r="C638" s="48"/>
      <c r="D638" s="49"/>
      <c r="E638" s="50"/>
      <c r="F638" s="51"/>
      <c r="G638" s="52"/>
      <c r="H638" s="53" t="str">
        <f t="shared" si="1"/>
        <v/>
      </c>
    </row>
    <row r="639">
      <c r="A639" s="47"/>
      <c r="C639" s="48"/>
      <c r="D639" s="49"/>
      <c r="E639" s="50"/>
      <c r="F639" s="51"/>
      <c r="G639" s="52"/>
      <c r="H639" s="53" t="str">
        <f t="shared" si="1"/>
        <v/>
      </c>
    </row>
    <row r="640">
      <c r="A640" s="47"/>
      <c r="C640" s="48"/>
      <c r="D640" s="49"/>
      <c r="E640" s="50"/>
      <c r="F640" s="51"/>
      <c r="G640" s="52"/>
      <c r="H640" s="53" t="str">
        <f t="shared" si="1"/>
        <v/>
      </c>
    </row>
    <row r="641">
      <c r="A641" s="47"/>
      <c r="C641" s="48"/>
      <c r="D641" s="49"/>
      <c r="E641" s="50"/>
      <c r="F641" s="51"/>
      <c r="G641" s="52"/>
      <c r="H641" s="53" t="str">
        <f t="shared" si="1"/>
        <v/>
      </c>
    </row>
    <row r="642">
      <c r="A642" s="47"/>
      <c r="C642" s="48"/>
      <c r="D642" s="49"/>
      <c r="E642" s="50"/>
      <c r="F642" s="51"/>
      <c r="G642" s="52"/>
      <c r="H642" s="53" t="str">
        <f t="shared" si="1"/>
        <v/>
      </c>
    </row>
    <row r="643">
      <c r="A643" s="47"/>
      <c r="C643" s="48"/>
      <c r="D643" s="49"/>
      <c r="E643" s="50"/>
      <c r="F643" s="51"/>
      <c r="G643" s="52"/>
      <c r="H643" s="53" t="str">
        <f t="shared" si="1"/>
        <v/>
      </c>
    </row>
    <row r="644">
      <c r="A644" s="47"/>
      <c r="C644" s="48"/>
      <c r="D644" s="49"/>
      <c r="E644" s="50"/>
      <c r="F644" s="51"/>
      <c r="G644" s="52"/>
      <c r="H644" s="53" t="str">
        <f t="shared" si="1"/>
        <v/>
      </c>
    </row>
    <row r="645">
      <c r="A645" s="47"/>
      <c r="C645" s="48"/>
      <c r="D645" s="49"/>
      <c r="E645" s="50"/>
      <c r="F645" s="51"/>
      <c r="G645" s="52"/>
      <c r="H645" s="53" t="str">
        <f t="shared" si="1"/>
        <v/>
      </c>
    </row>
    <row r="646">
      <c r="A646" s="47"/>
      <c r="C646" s="48"/>
      <c r="D646" s="49"/>
      <c r="E646" s="50"/>
      <c r="F646" s="51"/>
      <c r="G646" s="52"/>
      <c r="H646" s="53" t="str">
        <f t="shared" si="1"/>
        <v/>
      </c>
    </row>
    <row r="647">
      <c r="A647" s="47"/>
      <c r="C647" s="48"/>
      <c r="D647" s="49"/>
      <c r="E647" s="50"/>
      <c r="F647" s="51"/>
      <c r="G647" s="52"/>
      <c r="H647" s="53" t="str">
        <f t="shared" si="1"/>
        <v/>
      </c>
    </row>
    <row r="648">
      <c r="A648" s="47"/>
      <c r="C648" s="48"/>
      <c r="D648" s="49"/>
      <c r="E648" s="50"/>
      <c r="F648" s="51"/>
      <c r="G648" s="52"/>
      <c r="H648" s="53" t="str">
        <f t="shared" si="1"/>
        <v/>
      </c>
    </row>
    <row r="649">
      <c r="A649" s="47"/>
      <c r="C649" s="48"/>
      <c r="D649" s="49"/>
      <c r="E649" s="50"/>
      <c r="F649" s="51"/>
      <c r="G649" s="52"/>
      <c r="H649" s="53" t="str">
        <f t="shared" si="1"/>
        <v/>
      </c>
    </row>
    <row r="650">
      <c r="A650" s="47"/>
      <c r="C650" s="48"/>
      <c r="D650" s="49"/>
      <c r="E650" s="50"/>
      <c r="F650" s="51"/>
      <c r="G650" s="52"/>
      <c r="H650" s="53" t="str">
        <f t="shared" si="1"/>
        <v/>
      </c>
    </row>
    <row r="651">
      <c r="A651" s="47"/>
      <c r="C651" s="48"/>
      <c r="D651" s="49"/>
      <c r="E651" s="50"/>
      <c r="F651" s="51"/>
      <c r="G651" s="52"/>
      <c r="H651" s="53" t="str">
        <f t="shared" si="1"/>
        <v/>
      </c>
    </row>
    <row r="652">
      <c r="A652" s="47"/>
      <c r="C652" s="48"/>
      <c r="D652" s="49"/>
      <c r="E652" s="50"/>
      <c r="F652" s="51"/>
      <c r="G652" s="52"/>
      <c r="H652" s="53" t="str">
        <f t="shared" si="1"/>
        <v/>
      </c>
    </row>
    <row r="653">
      <c r="A653" s="47"/>
      <c r="C653" s="48"/>
      <c r="D653" s="49"/>
      <c r="E653" s="50"/>
      <c r="F653" s="51"/>
      <c r="G653" s="52"/>
      <c r="H653" s="53" t="str">
        <f t="shared" si="1"/>
        <v/>
      </c>
    </row>
    <row r="654">
      <c r="A654" s="47"/>
      <c r="C654" s="48"/>
      <c r="D654" s="49"/>
      <c r="E654" s="50"/>
      <c r="F654" s="51"/>
      <c r="G654" s="52"/>
      <c r="H654" s="53" t="str">
        <f t="shared" si="1"/>
        <v/>
      </c>
    </row>
    <row r="655">
      <c r="A655" s="47"/>
      <c r="C655" s="48"/>
      <c r="D655" s="49"/>
      <c r="E655" s="50"/>
      <c r="F655" s="51"/>
      <c r="G655" s="52"/>
      <c r="H655" s="53" t="str">
        <f t="shared" si="1"/>
        <v/>
      </c>
    </row>
    <row r="656">
      <c r="A656" s="47"/>
      <c r="C656" s="48"/>
      <c r="D656" s="49"/>
      <c r="E656" s="50"/>
      <c r="F656" s="51"/>
      <c r="G656" s="52"/>
      <c r="H656" s="53" t="str">
        <f t="shared" si="1"/>
        <v/>
      </c>
    </row>
    <row r="657">
      <c r="A657" s="47"/>
      <c r="C657" s="48"/>
      <c r="D657" s="49"/>
      <c r="E657" s="50"/>
      <c r="F657" s="51"/>
      <c r="G657" s="52"/>
      <c r="H657" s="53" t="str">
        <f t="shared" si="1"/>
        <v/>
      </c>
    </row>
    <row r="658">
      <c r="A658" s="47"/>
      <c r="C658" s="48"/>
      <c r="D658" s="49"/>
      <c r="E658" s="50"/>
      <c r="F658" s="51"/>
      <c r="G658" s="52"/>
      <c r="H658" s="53" t="str">
        <f t="shared" si="1"/>
        <v/>
      </c>
    </row>
    <row r="659">
      <c r="A659" s="47"/>
      <c r="C659" s="48"/>
      <c r="D659" s="49"/>
      <c r="E659" s="50"/>
      <c r="F659" s="51"/>
      <c r="G659" s="52"/>
      <c r="H659" s="53" t="str">
        <f t="shared" si="1"/>
        <v/>
      </c>
    </row>
    <row r="660">
      <c r="A660" s="47"/>
      <c r="C660" s="48"/>
      <c r="D660" s="49"/>
      <c r="E660" s="50"/>
      <c r="F660" s="51"/>
      <c r="G660" s="52"/>
      <c r="H660" s="53" t="str">
        <f t="shared" si="1"/>
        <v/>
      </c>
    </row>
    <row r="661">
      <c r="A661" s="47"/>
      <c r="C661" s="48"/>
      <c r="D661" s="49"/>
      <c r="E661" s="50"/>
      <c r="F661" s="51"/>
      <c r="G661" s="52"/>
      <c r="H661" s="53" t="str">
        <f t="shared" si="1"/>
        <v/>
      </c>
    </row>
    <row r="662">
      <c r="A662" s="47"/>
      <c r="C662" s="48"/>
      <c r="D662" s="49"/>
      <c r="E662" s="50"/>
      <c r="F662" s="51"/>
      <c r="G662" s="52"/>
      <c r="H662" s="53" t="str">
        <f t="shared" si="1"/>
        <v/>
      </c>
    </row>
    <row r="663">
      <c r="A663" s="47"/>
      <c r="C663" s="48"/>
      <c r="D663" s="49"/>
      <c r="E663" s="50"/>
      <c r="F663" s="51"/>
      <c r="G663" s="52"/>
      <c r="H663" s="53" t="str">
        <f t="shared" si="1"/>
        <v/>
      </c>
    </row>
    <row r="664">
      <c r="A664" s="47"/>
      <c r="C664" s="48"/>
      <c r="D664" s="49"/>
      <c r="E664" s="50"/>
      <c r="F664" s="51"/>
      <c r="G664" s="52"/>
      <c r="H664" s="53" t="str">
        <f t="shared" si="1"/>
        <v/>
      </c>
    </row>
    <row r="665">
      <c r="A665" s="47"/>
      <c r="C665" s="48"/>
      <c r="D665" s="49"/>
      <c r="E665" s="50"/>
      <c r="F665" s="51"/>
      <c r="G665" s="52"/>
      <c r="H665" s="53" t="str">
        <f t="shared" si="1"/>
        <v/>
      </c>
    </row>
    <row r="666">
      <c r="A666" s="47"/>
      <c r="C666" s="48"/>
      <c r="D666" s="49"/>
      <c r="E666" s="50"/>
      <c r="F666" s="51"/>
      <c r="G666" s="52"/>
      <c r="H666" s="53" t="str">
        <f t="shared" si="1"/>
        <v/>
      </c>
    </row>
    <row r="667">
      <c r="A667" s="47"/>
      <c r="C667" s="48"/>
      <c r="D667" s="49"/>
      <c r="E667" s="50"/>
      <c r="F667" s="51"/>
      <c r="G667" s="52"/>
      <c r="H667" s="53" t="str">
        <f t="shared" si="1"/>
        <v/>
      </c>
    </row>
    <row r="668">
      <c r="A668" s="47"/>
      <c r="C668" s="48"/>
      <c r="D668" s="49"/>
      <c r="E668" s="50"/>
      <c r="F668" s="51"/>
      <c r="G668" s="52"/>
      <c r="H668" s="53" t="str">
        <f t="shared" si="1"/>
        <v/>
      </c>
    </row>
    <row r="669">
      <c r="A669" s="47"/>
      <c r="C669" s="48"/>
      <c r="D669" s="49"/>
      <c r="E669" s="50"/>
      <c r="F669" s="51"/>
      <c r="G669" s="52"/>
      <c r="H669" s="53" t="str">
        <f t="shared" si="1"/>
        <v/>
      </c>
    </row>
    <row r="670">
      <c r="A670" s="47"/>
      <c r="C670" s="48"/>
      <c r="D670" s="49"/>
      <c r="E670" s="50"/>
      <c r="F670" s="51"/>
      <c r="G670" s="52"/>
      <c r="H670" s="53" t="str">
        <f t="shared" si="1"/>
        <v/>
      </c>
    </row>
    <row r="671">
      <c r="A671" s="47"/>
      <c r="C671" s="48"/>
      <c r="D671" s="49"/>
      <c r="E671" s="50"/>
      <c r="F671" s="51"/>
      <c r="G671" s="52"/>
      <c r="H671" s="53" t="str">
        <f t="shared" si="1"/>
        <v/>
      </c>
    </row>
    <row r="672">
      <c r="A672" s="47"/>
      <c r="C672" s="48"/>
      <c r="D672" s="49"/>
      <c r="E672" s="50"/>
      <c r="F672" s="51"/>
      <c r="G672" s="52"/>
      <c r="H672" s="53" t="str">
        <f t="shared" si="1"/>
        <v/>
      </c>
    </row>
    <row r="673">
      <c r="A673" s="47"/>
      <c r="C673" s="48"/>
      <c r="D673" s="49"/>
      <c r="E673" s="50"/>
      <c r="F673" s="51"/>
      <c r="G673" s="52"/>
      <c r="H673" s="53" t="str">
        <f t="shared" si="1"/>
        <v/>
      </c>
    </row>
    <row r="674">
      <c r="A674" s="47"/>
      <c r="C674" s="48"/>
      <c r="D674" s="49"/>
      <c r="E674" s="50"/>
      <c r="F674" s="51"/>
      <c r="G674" s="52"/>
      <c r="H674" s="53" t="str">
        <f t="shared" si="1"/>
        <v/>
      </c>
    </row>
    <row r="675">
      <c r="A675" s="47"/>
      <c r="C675" s="48"/>
      <c r="D675" s="49"/>
      <c r="E675" s="50"/>
      <c r="F675" s="51"/>
      <c r="G675" s="52"/>
      <c r="H675" s="53" t="str">
        <f t="shared" si="1"/>
        <v/>
      </c>
    </row>
    <row r="676">
      <c r="A676" s="47"/>
      <c r="C676" s="48"/>
      <c r="D676" s="49"/>
      <c r="E676" s="50"/>
      <c r="F676" s="51"/>
      <c r="G676" s="52"/>
      <c r="H676" s="53" t="str">
        <f t="shared" si="1"/>
        <v/>
      </c>
    </row>
    <row r="677">
      <c r="A677" s="47"/>
      <c r="C677" s="48"/>
      <c r="D677" s="49"/>
      <c r="E677" s="50"/>
      <c r="F677" s="51"/>
      <c r="G677" s="52"/>
      <c r="H677" s="53" t="str">
        <f t="shared" si="1"/>
        <v/>
      </c>
    </row>
    <row r="678">
      <c r="A678" s="47"/>
      <c r="C678" s="48"/>
      <c r="D678" s="49"/>
      <c r="E678" s="50"/>
      <c r="F678" s="51"/>
      <c r="G678" s="52"/>
      <c r="H678" s="53" t="str">
        <f t="shared" si="1"/>
        <v/>
      </c>
    </row>
    <row r="679">
      <c r="A679" s="47"/>
      <c r="C679" s="48"/>
      <c r="D679" s="49"/>
      <c r="E679" s="50"/>
      <c r="F679" s="51"/>
      <c r="G679" s="52"/>
      <c r="H679" s="53" t="str">
        <f t="shared" si="1"/>
        <v/>
      </c>
    </row>
    <row r="680">
      <c r="A680" s="47"/>
      <c r="C680" s="48"/>
      <c r="D680" s="49"/>
      <c r="E680" s="50"/>
      <c r="F680" s="51"/>
      <c r="G680" s="52"/>
      <c r="H680" s="53" t="str">
        <f t="shared" si="1"/>
        <v/>
      </c>
    </row>
    <row r="681">
      <c r="A681" s="47"/>
      <c r="C681" s="48"/>
      <c r="D681" s="49"/>
      <c r="E681" s="50"/>
      <c r="F681" s="51"/>
      <c r="G681" s="52"/>
      <c r="H681" s="53" t="str">
        <f t="shared" si="1"/>
        <v/>
      </c>
    </row>
    <row r="682">
      <c r="A682" s="47"/>
      <c r="C682" s="48"/>
      <c r="D682" s="49"/>
      <c r="E682" s="50"/>
      <c r="F682" s="51"/>
      <c r="G682" s="52"/>
      <c r="H682" s="53" t="str">
        <f t="shared" si="1"/>
        <v/>
      </c>
    </row>
    <row r="683">
      <c r="A683" s="47"/>
      <c r="C683" s="48"/>
      <c r="D683" s="49"/>
      <c r="E683" s="50"/>
      <c r="F683" s="51"/>
      <c r="G683" s="52"/>
      <c r="H683" s="53" t="str">
        <f t="shared" si="1"/>
        <v/>
      </c>
    </row>
    <row r="684">
      <c r="A684" s="47"/>
      <c r="C684" s="48"/>
      <c r="D684" s="49"/>
      <c r="E684" s="50"/>
      <c r="F684" s="51"/>
      <c r="G684" s="52"/>
      <c r="H684" s="53" t="str">
        <f t="shared" si="1"/>
        <v/>
      </c>
    </row>
    <row r="685">
      <c r="A685" s="47"/>
      <c r="C685" s="48"/>
      <c r="D685" s="49"/>
      <c r="E685" s="50"/>
      <c r="F685" s="51"/>
      <c r="G685" s="52"/>
      <c r="H685" s="53" t="str">
        <f t="shared" si="1"/>
        <v/>
      </c>
    </row>
    <row r="686">
      <c r="A686" s="47"/>
      <c r="C686" s="48"/>
      <c r="D686" s="49"/>
      <c r="E686" s="50"/>
      <c r="F686" s="51"/>
      <c r="G686" s="52"/>
      <c r="H686" s="53" t="str">
        <f t="shared" si="1"/>
        <v/>
      </c>
    </row>
    <row r="687">
      <c r="A687" s="47"/>
      <c r="C687" s="48"/>
      <c r="D687" s="49"/>
      <c r="E687" s="50"/>
      <c r="F687" s="51"/>
      <c r="G687" s="52"/>
      <c r="H687" s="53" t="str">
        <f t="shared" si="1"/>
        <v/>
      </c>
    </row>
    <row r="688">
      <c r="A688" s="47"/>
      <c r="C688" s="48"/>
      <c r="D688" s="49"/>
      <c r="E688" s="50"/>
      <c r="F688" s="51"/>
      <c r="G688" s="52"/>
      <c r="H688" s="53" t="str">
        <f t="shared" si="1"/>
        <v/>
      </c>
    </row>
    <row r="689">
      <c r="A689" s="47"/>
      <c r="C689" s="48"/>
      <c r="D689" s="49"/>
      <c r="E689" s="50"/>
      <c r="F689" s="51"/>
      <c r="G689" s="52"/>
      <c r="H689" s="53" t="str">
        <f t="shared" si="1"/>
        <v/>
      </c>
    </row>
    <row r="690">
      <c r="A690" s="47"/>
      <c r="C690" s="48"/>
      <c r="D690" s="49"/>
      <c r="E690" s="50"/>
      <c r="F690" s="51"/>
      <c r="G690" s="52"/>
      <c r="H690" s="53" t="str">
        <f t="shared" si="1"/>
        <v/>
      </c>
    </row>
    <row r="691">
      <c r="A691" s="47"/>
      <c r="C691" s="48"/>
      <c r="D691" s="49"/>
      <c r="E691" s="50"/>
      <c r="F691" s="51"/>
      <c r="G691" s="52"/>
      <c r="H691" s="53" t="str">
        <f t="shared" si="1"/>
        <v/>
      </c>
    </row>
    <row r="692">
      <c r="A692" s="47"/>
      <c r="C692" s="48"/>
      <c r="D692" s="49"/>
      <c r="E692" s="50"/>
      <c r="F692" s="51"/>
      <c r="G692" s="52"/>
      <c r="H692" s="53" t="str">
        <f t="shared" si="1"/>
        <v/>
      </c>
    </row>
    <row r="693">
      <c r="A693" s="47"/>
      <c r="C693" s="48"/>
      <c r="D693" s="49"/>
      <c r="E693" s="50"/>
      <c r="F693" s="51"/>
      <c r="G693" s="52"/>
      <c r="H693" s="53" t="str">
        <f t="shared" si="1"/>
        <v/>
      </c>
    </row>
    <row r="694">
      <c r="A694" s="47"/>
      <c r="C694" s="48"/>
      <c r="D694" s="49"/>
      <c r="E694" s="50"/>
      <c r="F694" s="51"/>
      <c r="G694" s="52"/>
      <c r="H694" s="53" t="str">
        <f t="shared" si="1"/>
        <v/>
      </c>
    </row>
    <row r="695">
      <c r="A695" s="47"/>
      <c r="C695" s="48"/>
      <c r="D695" s="49"/>
      <c r="E695" s="50"/>
      <c r="F695" s="51"/>
      <c r="G695" s="52"/>
      <c r="H695" s="53" t="str">
        <f t="shared" si="1"/>
        <v/>
      </c>
    </row>
    <row r="696">
      <c r="A696" s="47"/>
      <c r="C696" s="48"/>
      <c r="D696" s="49"/>
      <c r="E696" s="50"/>
      <c r="F696" s="51"/>
      <c r="G696" s="52"/>
      <c r="H696" s="53" t="str">
        <f t="shared" si="1"/>
        <v/>
      </c>
    </row>
    <row r="697">
      <c r="A697" s="47"/>
      <c r="C697" s="48"/>
      <c r="D697" s="49"/>
      <c r="E697" s="50"/>
      <c r="F697" s="51"/>
      <c r="G697" s="52"/>
      <c r="H697" s="53" t="str">
        <f t="shared" si="1"/>
        <v/>
      </c>
    </row>
    <row r="698">
      <c r="A698" s="47"/>
      <c r="C698" s="48"/>
      <c r="D698" s="49"/>
      <c r="E698" s="50"/>
      <c r="F698" s="51"/>
      <c r="G698" s="52"/>
      <c r="H698" s="53" t="str">
        <f t="shared" si="1"/>
        <v/>
      </c>
    </row>
    <row r="699">
      <c r="A699" s="47"/>
      <c r="C699" s="48"/>
      <c r="D699" s="49"/>
      <c r="E699" s="50"/>
      <c r="F699" s="51"/>
      <c r="G699" s="52"/>
      <c r="H699" s="53" t="str">
        <f t="shared" si="1"/>
        <v/>
      </c>
    </row>
    <row r="700">
      <c r="A700" s="47"/>
      <c r="C700" s="48"/>
      <c r="D700" s="49"/>
      <c r="E700" s="50"/>
      <c r="F700" s="51"/>
      <c r="G700" s="52"/>
      <c r="H700" s="53" t="str">
        <f t="shared" si="1"/>
        <v/>
      </c>
    </row>
    <row r="701">
      <c r="A701" s="47"/>
      <c r="C701" s="48"/>
      <c r="D701" s="49"/>
      <c r="E701" s="50"/>
      <c r="F701" s="51"/>
      <c r="G701" s="52"/>
      <c r="H701" s="53" t="str">
        <f t="shared" si="1"/>
        <v/>
      </c>
    </row>
    <row r="702">
      <c r="A702" s="47"/>
      <c r="C702" s="48"/>
      <c r="D702" s="49"/>
      <c r="E702" s="50"/>
      <c r="F702" s="51"/>
      <c r="G702" s="52"/>
      <c r="H702" s="53" t="str">
        <f t="shared" si="1"/>
        <v/>
      </c>
    </row>
    <row r="703">
      <c r="A703" s="47"/>
      <c r="C703" s="48"/>
      <c r="D703" s="49"/>
      <c r="E703" s="50"/>
      <c r="F703" s="51"/>
      <c r="G703" s="52"/>
      <c r="H703" s="53" t="str">
        <f t="shared" si="1"/>
        <v/>
      </c>
    </row>
    <row r="704">
      <c r="A704" s="47"/>
      <c r="C704" s="48"/>
      <c r="D704" s="49"/>
      <c r="E704" s="50"/>
      <c r="F704" s="51"/>
      <c r="G704" s="52"/>
      <c r="H704" s="53" t="str">
        <f t="shared" si="1"/>
        <v/>
      </c>
    </row>
    <row r="705">
      <c r="A705" s="47"/>
      <c r="C705" s="48"/>
      <c r="D705" s="49"/>
      <c r="E705" s="50"/>
      <c r="F705" s="51"/>
      <c r="G705" s="52"/>
      <c r="H705" s="53" t="str">
        <f t="shared" si="1"/>
        <v/>
      </c>
    </row>
    <row r="706">
      <c r="A706" s="47"/>
      <c r="C706" s="48"/>
      <c r="D706" s="49"/>
      <c r="E706" s="50"/>
      <c r="F706" s="51"/>
      <c r="G706" s="52"/>
      <c r="H706" s="53" t="str">
        <f t="shared" si="1"/>
        <v/>
      </c>
    </row>
    <row r="707">
      <c r="A707" s="47"/>
      <c r="C707" s="48"/>
      <c r="D707" s="49"/>
      <c r="E707" s="50"/>
      <c r="F707" s="51"/>
      <c r="G707" s="52"/>
      <c r="H707" s="53" t="str">
        <f t="shared" si="1"/>
        <v/>
      </c>
    </row>
    <row r="708">
      <c r="A708" s="47"/>
      <c r="C708" s="48"/>
      <c r="D708" s="49"/>
      <c r="E708" s="50"/>
      <c r="F708" s="51"/>
      <c r="G708" s="52"/>
      <c r="H708" s="53" t="str">
        <f t="shared" si="1"/>
        <v/>
      </c>
    </row>
    <row r="709">
      <c r="A709" s="47"/>
      <c r="C709" s="48"/>
      <c r="D709" s="49"/>
      <c r="E709" s="50"/>
      <c r="F709" s="51"/>
      <c r="G709" s="52"/>
      <c r="H709" s="53" t="str">
        <f t="shared" si="1"/>
        <v/>
      </c>
    </row>
    <row r="710">
      <c r="A710" s="47"/>
      <c r="C710" s="48"/>
      <c r="D710" s="49"/>
      <c r="E710" s="50"/>
      <c r="F710" s="51"/>
      <c r="G710" s="52"/>
      <c r="H710" s="53" t="str">
        <f t="shared" si="1"/>
        <v/>
      </c>
    </row>
    <row r="711">
      <c r="A711" s="47"/>
      <c r="C711" s="48"/>
      <c r="D711" s="49"/>
      <c r="E711" s="50"/>
      <c r="F711" s="51"/>
      <c r="G711" s="52"/>
      <c r="H711" s="53" t="str">
        <f t="shared" si="1"/>
        <v/>
      </c>
    </row>
    <row r="712">
      <c r="A712" s="47"/>
      <c r="C712" s="48"/>
      <c r="D712" s="49"/>
      <c r="E712" s="50"/>
      <c r="F712" s="51"/>
      <c r="G712" s="52"/>
      <c r="H712" s="53" t="str">
        <f t="shared" si="1"/>
        <v/>
      </c>
    </row>
    <row r="713">
      <c r="A713" s="47"/>
      <c r="C713" s="48"/>
      <c r="D713" s="49"/>
      <c r="E713" s="50"/>
      <c r="F713" s="51"/>
      <c r="G713" s="52"/>
      <c r="H713" s="53" t="str">
        <f t="shared" si="1"/>
        <v/>
      </c>
    </row>
    <row r="714">
      <c r="A714" s="47"/>
      <c r="C714" s="48"/>
      <c r="D714" s="49"/>
      <c r="E714" s="50"/>
      <c r="F714" s="51"/>
      <c r="G714" s="52"/>
      <c r="H714" s="53" t="str">
        <f t="shared" si="1"/>
        <v/>
      </c>
    </row>
    <row r="715">
      <c r="A715" s="47"/>
      <c r="C715" s="48"/>
      <c r="D715" s="49"/>
      <c r="E715" s="50"/>
      <c r="F715" s="51"/>
      <c r="G715" s="52"/>
      <c r="H715" s="53" t="str">
        <f t="shared" si="1"/>
        <v/>
      </c>
    </row>
    <row r="716">
      <c r="A716" s="47"/>
      <c r="C716" s="48"/>
      <c r="D716" s="49"/>
      <c r="E716" s="50"/>
      <c r="F716" s="51"/>
      <c r="G716" s="52"/>
      <c r="H716" s="53" t="str">
        <f t="shared" si="1"/>
        <v/>
      </c>
    </row>
    <row r="717">
      <c r="A717" s="47"/>
      <c r="C717" s="48"/>
      <c r="D717" s="49"/>
      <c r="E717" s="50"/>
      <c r="F717" s="51"/>
      <c r="G717" s="52"/>
      <c r="H717" s="53" t="str">
        <f t="shared" si="1"/>
        <v/>
      </c>
    </row>
    <row r="718">
      <c r="A718" s="47"/>
      <c r="C718" s="48"/>
      <c r="D718" s="49"/>
      <c r="E718" s="50"/>
      <c r="F718" s="51"/>
      <c r="G718" s="52"/>
      <c r="H718" s="53" t="str">
        <f t="shared" si="1"/>
        <v/>
      </c>
    </row>
    <row r="719">
      <c r="A719" s="47"/>
      <c r="C719" s="48"/>
      <c r="D719" s="49"/>
      <c r="E719" s="50"/>
      <c r="F719" s="51"/>
      <c r="G719" s="52"/>
      <c r="H719" s="53" t="str">
        <f t="shared" si="1"/>
        <v/>
      </c>
    </row>
    <row r="720">
      <c r="A720" s="47"/>
      <c r="C720" s="48"/>
      <c r="D720" s="49"/>
      <c r="E720" s="50"/>
      <c r="F720" s="51"/>
      <c r="G720" s="52"/>
      <c r="H720" s="53" t="str">
        <f t="shared" si="1"/>
        <v/>
      </c>
    </row>
    <row r="721">
      <c r="A721" s="47"/>
      <c r="C721" s="48"/>
      <c r="D721" s="49"/>
      <c r="E721" s="50"/>
      <c r="F721" s="51"/>
      <c r="G721" s="52"/>
      <c r="H721" s="53" t="str">
        <f t="shared" si="1"/>
        <v/>
      </c>
    </row>
    <row r="722">
      <c r="A722" s="47"/>
      <c r="C722" s="48"/>
      <c r="D722" s="49"/>
      <c r="E722" s="50"/>
      <c r="F722" s="51"/>
      <c r="G722" s="52"/>
      <c r="H722" s="53" t="str">
        <f t="shared" si="1"/>
        <v/>
      </c>
    </row>
    <row r="723">
      <c r="A723" s="47"/>
      <c r="C723" s="48"/>
      <c r="D723" s="49"/>
      <c r="E723" s="50"/>
      <c r="F723" s="51"/>
      <c r="G723" s="52"/>
      <c r="H723" s="53" t="str">
        <f t="shared" si="1"/>
        <v/>
      </c>
    </row>
    <row r="724">
      <c r="A724" s="47"/>
      <c r="C724" s="48"/>
      <c r="D724" s="49"/>
      <c r="E724" s="50"/>
      <c r="F724" s="51"/>
      <c r="G724" s="52"/>
      <c r="H724" s="53" t="str">
        <f t="shared" si="1"/>
        <v/>
      </c>
    </row>
    <row r="725">
      <c r="A725" s="47"/>
      <c r="C725" s="48"/>
      <c r="D725" s="49"/>
      <c r="E725" s="50"/>
      <c r="F725" s="51"/>
      <c r="G725" s="52"/>
      <c r="H725" s="53" t="str">
        <f t="shared" si="1"/>
        <v/>
      </c>
    </row>
    <row r="726">
      <c r="A726" s="47"/>
      <c r="C726" s="48"/>
      <c r="D726" s="49"/>
      <c r="E726" s="50"/>
      <c r="F726" s="51"/>
      <c r="G726" s="52"/>
      <c r="H726" s="53" t="str">
        <f t="shared" si="1"/>
        <v/>
      </c>
    </row>
    <row r="727">
      <c r="A727" s="47"/>
      <c r="C727" s="48"/>
      <c r="D727" s="49"/>
      <c r="E727" s="50"/>
      <c r="F727" s="51"/>
      <c r="G727" s="52"/>
      <c r="H727" s="53" t="str">
        <f t="shared" si="1"/>
        <v/>
      </c>
    </row>
    <row r="728">
      <c r="A728" s="47"/>
      <c r="C728" s="48"/>
      <c r="D728" s="49"/>
      <c r="E728" s="50"/>
      <c r="F728" s="51"/>
      <c r="G728" s="52"/>
      <c r="H728" s="53" t="str">
        <f t="shared" si="1"/>
        <v/>
      </c>
    </row>
    <row r="729">
      <c r="A729" s="47"/>
      <c r="C729" s="48"/>
      <c r="D729" s="49"/>
      <c r="E729" s="50"/>
      <c r="F729" s="51"/>
      <c r="G729" s="52"/>
      <c r="H729" s="53" t="str">
        <f t="shared" si="1"/>
        <v/>
      </c>
    </row>
    <row r="730">
      <c r="A730" s="47"/>
      <c r="C730" s="48"/>
      <c r="D730" s="49"/>
      <c r="E730" s="50"/>
      <c r="F730" s="51"/>
      <c r="G730" s="52"/>
      <c r="H730" s="53" t="str">
        <f t="shared" si="1"/>
        <v/>
      </c>
    </row>
    <row r="731">
      <c r="A731" s="47"/>
      <c r="C731" s="48"/>
      <c r="D731" s="49"/>
      <c r="E731" s="50"/>
      <c r="F731" s="51"/>
      <c r="G731" s="52"/>
      <c r="H731" s="53" t="str">
        <f t="shared" si="1"/>
        <v/>
      </c>
    </row>
    <row r="732">
      <c r="A732" s="47"/>
      <c r="C732" s="48"/>
      <c r="D732" s="49"/>
      <c r="E732" s="50"/>
      <c r="F732" s="51"/>
      <c r="G732" s="52"/>
      <c r="H732" s="53" t="str">
        <f t="shared" si="1"/>
        <v/>
      </c>
    </row>
    <row r="733">
      <c r="A733" s="47"/>
      <c r="C733" s="48"/>
      <c r="D733" s="49"/>
      <c r="E733" s="50"/>
      <c r="F733" s="51"/>
      <c r="G733" s="52"/>
      <c r="H733" s="53" t="str">
        <f t="shared" si="1"/>
        <v/>
      </c>
    </row>
    <row r="734">
      <c r="A734" s="47"/>
      <c r="C734" s="48"/>
      <c r="D734" s="49"/>
      <c r="E734" s="50"/>
      <c r="F734" s="51"/>
      <c r="G734" s="52"/>
      <c r="H734" s="53" t="str">
        <f t="shared" si="1"/>
        <v/>
      </c>
    </row>
    <row r="735">
      <c r="A735" s="47"/>
      <c r="C735" s="48"/>
      <c r="D735" s="49"/>
      <c r="E735" s="50"/>
      <c r="F735" s="51"/>
      <c r="G735" s="52"/>
      <c r="H735" s="53" t="str">
        <f t="shared" si="1"/>
        <v/>
      </c>
    </row>
    <row r="736">
      <c r="A736" s="47"/>
      <c r="C736" s="48"/>
      <c r="D736" s="49"/>
      <c r="E736" s="50"/>
      <c r="F736" s="51"/>
      <c r="G736" s="52"/>
      <c r="H736" s="53" t="str">
        <f t="shared" si="1"/>
        <v/>
      </c>
    </row>
    <row r="737">
      <c r="A737" s="47"/>
      <c r="C737" s="48"/>
      <c r="D737" s="49"/>
      <c r="E737" s="50"/>
      <c r="F737" s="51"/>
      <c r="G737" s="52"/>
      <c r="H737" s="53" t="str">
        <f t="shared" si="1"/>
        <v/>
      </c>
    </row>
    <row r="738">
      <c r="A738" s="47"/>
      <c r="C738" s="48"/>
      <c r="D738" s="49"/>
      <c r="E738" s="50"/>
      <c r="F738" s="51"/>
      <c r="G738" s="52"/>
      <c r="H738" s="53" t="str">
        <f t="shared" si="1"/>
        <v/>
      </c>
    </row>
    <row r="739">
      <c r="A739" s="47"/>
      <c r="C739" s="48"/>
      <c r="D739" s="49"/>
      <c r="E739" s="50"/>
      <c r="F739" s="51"/>
      <c r="G739" s="52"/>
      <c r="H739" s="53" t="str">
        <f t="shared" si="1"/>
        <v/>
      </c>
    </row>
    <row r="740">
      <c r="A740" s="47"/>
      <c r="C740" s="48"/>
      <c r="D740" s="49"/>
      <c r="E740" s="50"/>
      <c r="F740" s="51"/>
      <c r="G740" s="52"/>
      <c r="H740" s="53" t="str">
        <f t="shared" si="1"/>
        <v/>
      </c>
    </row>
    <row r="741">
      <c r="A741" s="47"/>
      <c r="C741" s="48"/>
      <c r="D741" s="49"/>
      <c r="E741" s="50"/>
      <c r="F741" s="51"/>
      <c r="G741" s="52"/>
      <c r="H741" s="53" t="str">
        <f t="shared" si="1"/>
        <v/>
      </c>
    </row>
    <row r="742">
      <c r="A742" s="47"/>
      <c r="C742" s="48"/>
      <c r="D742" s="49"/>
      <c r="E742" s="50"/>
      <c r="F742" s="51"/>
      <c r="G742" s="52"/>
      <c r="H742" s="53" t="str">
        <f t="shared" si="1"/>
        <v/>
      </c>
    </row>
    <row r="743">
      <c r="A743" s="47"/>
      <c r="C743" s="48"/>
      <c r="D743" s="49"/>
      <c r="E743" s="50"/>
      <c r="F743" s="51"/>
      <c r="G743" s="52"/>
      <c r="H743" s="53" t="str">
        <f t="shared" si="1"/>
        <v/>
      </c>
    </row>
    <row r="744">
      <c r="A744" s="47"/>
      <c r="C744" s="48"/>
      <c r="D744" s="49"/>
      <c r="E744" s="50"/>
      <c r="F744" s="51"/>
      <c r="G744" s="52"/>
      <c r="H744" s="53" t="str">
        <f t="shared" si="1"/>
        <v/>
      </c>
    </row>
    <row r="745">
      <c r="A745" s="47"/>
      <c r="C745" s="48"/>
      <c r="D745" s="49"/>
      <c r="E745" s="50"/>
      <c r="F745" s="51"/>
      <c r="G745" s="52"/>
      <c r="H745" s="53" t="str">
        <f t="shared" si="1"/>
        <v/>
      </c>
    </row>
    <row r="746">
      <c r="A746" s="47"/>
      <c r="C746" s="48"/>
      <c r="D746" s="49"/>
      <c r="E746" s="50"/>
      <c r="F746" s="51"/>
      <c r="G746" s="52"/>
      <c r="H746" s="53" t="str">
        <f t="shared" si="1"/>
        <v/>
      </c>
    </row>
    <row r="747">
      <c r="A747" s="47"/>
      <c r="C747" s="48"/>
      <c r="D747" s="49"/>
      <c r="E747" s="50"/>
      <c r="F747" s="51"/>
      <c r="G747" s="52"/>
      <c r="H747" s="53" t="str">
        <f t="shared" si="1"/>
        <v/>
      </c>
    </row>
    <row r="748">
      <c r="A748" s="47"/>
      <c r="C748" s="48"/>
      <c r="D748" s="49"/>
      <c r="E748" s="50"/>
      <c r="F748" s="51"/>
      <c r="G748" s="52"/>
      <c r="H748" s="53" t="str">
        <f t="shared" si="1"/>
        <v/>
      </c>
    </row>
    <row r="749">
      <c r="A749" s="47"/>
      <c r="C749" s="48"/>
      <c r="D749" s="49"/>
      <c r="E749" s="50"/>
      <c r="F749" s="51"/>
      <c r="G749" s="52"/>
      <c r="H749" s="53" t="str">
        <f t="shared" si="1"/>
        <v/>
      </c>
    </row>
    <row r="750">
      <c r="A750" s="47"/>
      <c r="C750" s="48"/>
      <c r="D750" s="49"/>
      <c r="E750" s="50"/>
      <c r="F750" s="51"/>
      <c r="G750" s="52"/>
      <c r="H750" s="53" t="str">
        <f t="shared" si="1"/>
        <v/>
      </c>
    </row>
    <row r="751">
      <c r="A751" s="47"/>
      <c r="C751" s="48"/>
      <c r="D751" s="49"/>
      <c r="E751" s="50"/>
      <c r="F751" s="51"/>
      <c r="G751" s="52"/>
      <c r="H751" s="53" t="str">
        <f t="shared" si="1"/>
        <v/>
      </c>
    </row>
    <row r="752">
      <c r="A752" s="47"/>
      <c r="C752" s="48"/>
      <c r="D752" s="49"/>
      <c r="E752" s="50"/>
      <c r="F752" s="51"/>
      <c r="G752" s="52"/>
      <c r="H752" s="53" t="str">
        <f t="shared" si="1"/>
        <v/>
      </c>
    </row>
    <row r="753">
      <c r="A753" s="47"/>
      <c r="C753" s="48"/>
      <c r="D753" s="49"/>
      <c r="E753" s="50"/>
      <c r="F753" s="51"/>
      <c r="G753" s="52"/>
      <c r="H753" s="53" t="str">
        <f t="shared" si="1"/>
        <v/>
      </c>
    </row>
    <row r="754">
      <c r="A754" s="47"/>
      <c r="C754" s="48"/>
      <c r="D754" s="49"/>
      <c r="E754" s="50"/>
      <c r="F754" s="51"/>
      <c r="G754" s="52"/>
      <c r="H754" s="53" t="str">
        <f t="shared" si="1"/>
        <v/>
      </c>
    </row>
    <row r="755">
      <c r="A755" s="47"/>
      <c r="C755" s="48"/>
      <c r="D755" s="49"/>
      <c r="E755" s="50"/>
      <c r="F755" s="51"/>
      <c r="G755" s="52"/>
      <c r="H755" s="53" t="str">
        <f t="shared" si="1"/>
        <v/>
      </c>
    </row>
    <row r="756">
      <c r="A756" s="47"/>
      <c r="C756" s="48"/>
      <c r="D756" s="49"/>
      <c r="E756" s="50"/>
      <c r="F756" s="51"/>
      <c r="G756" s="52"/>
      <c r="H756" s="53" t="str">
        <f t="shared" si="1"/>
        <v/>
      </c>
    </row>
    <row r="757">
      <c r="A757" s="47"/>
      <c r="C757" s="48"/>
      <c r="D757" s="49"/>
      <c r="E757" s="50"/>
      <c r="F757" s="51"/>
      <c r="G757" s="52"/>
      <c r="H757" s="53" t="str">
        <f t="shared" si="1"/>
        <v/>
      </c>
    </row>
    <row r="758">
      <c r="A758" s="47"/>
      <c r="C758" s="48"/>
      <c r="D758" s="49"/>
      <c r="E758" s="50"/>
      <c r="F758" s="51"/>
      <c r="G758" s="52"/>
      <c r="H758" s="53" t="str">
        <f t="shared" si="1"/>
        <v/>
      </c>
    </row>
    <row r="759">
      <c r="A759" s="47"/>
      <c r="C759" s="48"/>
      <c r="D759" s="49"/>
      <c r="E759" s="50"/>
      <c r="F759" s="51"/>
      <c r="G759" s="52"/>
      <c r="H759" s="53" t="str">
        <f t="shared" si="1"/>
        <v/>
      </c>
    </row>
    <row r="760">
      <c r="A760" s="47"/>
      <c r="C760" s="48"/>
      <c r="D760" s="49"/>
      <c r="E760" s="50"/>
      <c r="F760" s="51"/>
      <c r="G760" s="52"/>
      <c r="H760" s="53" t="str">
        <f t="shared" si="1"/>
        <v/>
      </c>
    </row>
    <row r="761">
      <c r="A761" s="47"/>
      <c r="C761" s="48"/>
      <c r="D761" s="49"/>
      <c r="E761" s="50"/>
      <c r="F761" s="51"/>
      <c r="G761" s="52"/>
      <c r="H761" s="53" t="str">
        <f t="shared" si="1"/>
        <v/>
      </c>
    </row>
    <row r="762">
      <c r="A762" s="47"/>
      <c r="C762" s="48"/>
      <c r="D762" s="49"/>
      <c r="E762" s="50"/>
      <c r="F762" s="51"/>
      <c r="G762" s="52"/>
      <c r="H762" s="53" t="str">
        <f t="shared" si="1"/>
        <v/>
      </c>
    </row>
    <row r="763">
      <c r="A763" s="47"/>
      <c r="C763" s="48"/>
      <c r="D763" s="49"/>
      <c r="E763" s="50"/>
      <c r="F763" s="51"/>
      <c r="G763" s="52"/>
      <c r="H763" s="53" t="str">
        <f t="shared" si="1"/>
        <v/>
      </c>
    </row>
    <row r="764">
      <c r="A764" s="47"/>
      <c r="C764" s="48"/>
      <c r="D764" s="49"/>
      <c r="E764" s="50"/>
      <c r="F764" s="51"/>
      <c r="G764" s="52"/>
      <c r="H764" s="53" t="str">
        <f t="shared" si="1"/>
        <v/>
      </c>
    </row>
    <row r="765">
      <c r="A765" s="47"/>
      <c r="C765" s="48"/>
      <c r="D765" s="49"/>
      <c r="E765" s="50"/>
      <c r="F765" s="51"/>
      <c r="G765" s="52"/>
      <c r="H765" s="53" t="str">
        <f t="shared" si="1"/>
        <v/>
      </c>
    </row>
    <row r="766">
      <c r="A766" s="47"/>
      <c r="C766" s="48"/>
      <c r="D766" s="49"/>
      <c r="E766" s="50"/>
      <c r="F766" s="51"/>
      <c r="G766" s="52"/>
      <c r="H766" s="53" t="str">
        <f t="shared" si="1"/>
        <v/>
      </c>
    </row>
    <row r="767">
      <c r="A767" s="47"/>
      <c r="C767" s="48"/>
      <c r="D767" s="49"/>
      <c r="E767" s="50"/>
      <c r="F767" s="51"/>
      <c r="G767" s="52"/>
      <c r="H767" s="53" t="str">
        <f t="shared" si="1"/>
        <v/>
      </c>
    </row>
    <row r="768">
      <c r="A768" s="47"/>
      <c r="C768" s="48"/>
      <c r="D768" s="49"/>
      <c r="E768" s="50"/>
      <c r="F768" s="51"/>
      <c r="G768" s="52"/>
      <c r="H768" s="53" t="str">
        <f t="shared" si="1"/>
        <v/>
      </c>
    </row>
    <row r="769">
      <c r="A769" s="47"/>
      <c r="C769" s="48"/>
      <c r="D769" s="49"/>
      <c r="E769" s="50"/>
      <c r="F769" s="51"/>
      <c r="G769" s="52"/>
      <c r="H769" s="53" t="str">
        <f t="shared" si="1"/>
        <v/>
      </c>
    </row>
    <row r="770">
      <c r="A770" s="47"/>
      <c r="C770" s="48"/>
      <c r="D770" s="49"/>
      <c r="E770" s="50"/>
      <c r="F770" s="51"/>
      <c r="G770" s="52"/>
      <c r="H770" s="53" t="str">
        <f t="shared" si="1"/>
        <v/>
      </c>
    </row>
    <row r="771">
      <c r="A771" s="47"/>
      <c r="C771" s="48"/>
      <c r="D771" s="49"/>
      <c r="E771" s="50"/>
      <c r="F771" s="51"/>
      <c r="G771" s="52"/>
      <c r="H771" s="53" t="str">
        <f t="shared" si="1"/>
        <v/>
      </c>
    </row>
    <row r="772">
      <c r="A772" s="47"/>
      <c r="C772" s="48"/>
      <c r="D772" s="49"/>
      <c r="E772" s="50"/>
      <c r="F772" s="51"/>
      <c r="G772" s="52"/>
      <c r="H772" s="53" t="str">
        <f t="shared" si="1"/>
        <v/>
      </c>
    </row>
    <row r="773">
      <c r="A773" s="47"/>
      <c r="C773" s="48"/>
      <c r="D773" s="49"/>
      <c r="E773" s="50"/>
      <c r="F773" s="51"/>
      <c r="G773" s="52"/>
      <c r="H773" s="53" t="str">
        <f t="shared" si="1"/>
        <v/>
      </c>
    </row>
    <row r="774">
      <c r="A774" s="47"/>
      <c r="C774" s="48"/>
      <c r="D774" s="49"/>
      <c r="E774" s="50"/>
      <c r="F774" s="51"/>
      <c r="G774" s="52"/>
      <c r="H774" s="53" t="str">
        <f t="shared" si="1"/>
        <v/>
      </c>
    </row>
    <row r="775">
      <c r="A775" s="47"/>
      <c r="C775" s="48"/>
      <c r="D775" s="49"/>
      <c r="E775" s="50"/>
      <c r="F775" s="51"/>
      <c r="G775" s="52"/>
      <c r="H775" s="53" t="str">
        <f t="shared" si="1"/>
        <v/>
      </c>
    </row>
    <row r="776">
      <c r="A776" s="47"/>
      <c r="C776" s="48"/>
      <c r="D776" s="49"/>
      <c r="E776" s="50"/>
      <c r="F776" s="51"/>
      <c r="G776" s="52"/>
      <c r="H776" s="53" t="str">
        <f t="shared" si="1"/>
        <v/>
      </c>
    </row>
    <row r="777">
      <c r="A777" s="47"/>
      <c r="C777" s="48"/>
      <c r="D777" s="49"/>
      <c r="E777" s="50"/>
      <c r="F777" s="51"/>
      <c r="G777" s="52"/>
      <c r="H777" s="53" t="str">
        <f t="shared" si="1"/>
        <v/>
      </c>
    </row>
    <row r="778">
      <c r="A778" s="47"/>
      <c r="C778" s="48"/>
      <c r="D778" s="49"/>
      <c r="E778" s="50"/>
      <c r="F778" s="51"/>
      <c r="G778" s="52"/>
      <c r="H778" s="53" t="str">
        <f t="shared" si="1"/>
        <v/>
      </c>
    </row>
    <row r="779">
      <c r="A779" s="47"/>
      <c r="C779" s="48"/>
      <c r="D779" s="49"/>
      <c r="E779" s="50"/>
      <c r="F779" s="51"/>
      <c r="G779" s="52"/>
      <c r="H779" s="53" t="str">
        <f t="shared" si="1"/>
        <v/>
      </c>
    </row>
    <row r="780">
      <c r="A780" s="47"/>
      <c r="C780" s="48"/>
      <c r="D780" s="49"/>
      <c r="E780" s="50"/>
      <c r="F780" s="51"/>
      <c r="G780" s="52"/>
      <c r="H780" s="53" t="str">
        <f t="shared" si="1"/>
        <v/>
      </c>
    </row>
    <row r="781">
      <c r="A781" s="47"/>
      <c r="C781" s="48"/>
      <c r="D781" s="49"/>
      <c r="E781" s="50"/>
      <c r="F781" s="51"/>
      <c r="G781" s="52"/>
      <c r="H781" s="53" t="str">
        <f t="shared" si="1"/>
        <v/>
      </c>
    </row>
    <row r="782">
      <c r="A782" s="47"/>
      <c r="C782" s="48"/>
      <c r="D782" s="49"/>
      <c r="E782" s="50"/>
      <c r="F782" s="51"/>
      <c r="G782" s="52"/>
      <c r="H782" s="53" t="str">
        <f t="shared" si="1"/>
        <v/>
      </c>
    </row>
    <row r="783">
      <c r="A783" s="47"/>
      <c r="C783" s="48"/>
      <c r="D783" s="49"/>
      <c r="E783" s="50"/>
      <c r="F783" s="51"/>
      <c r="G783" s="52"/>
      <c r="H783" s="53" t="str">
        <f t="shared" si="1"/>
        <v/>
      </c>
    </row>
    <row r="784">
      <c r="A784" s="47"/>
      <c r="C784" s="48"/>
      <c r="D784" s="49"/>
      <c r="E784" s="50"/>
      <c r="F784" s="51"/>
      <c r="G784" s="52"/>
      <c r="H784" s="53" t="str">
        <f t="shared" si="1"/>
        <v/>
      </c>
    </row>
    <row r="785">
      <c r="A785" s="47"/>
      <c r="C785" s="48"/>
      <c r="D785" s="49"/>
      <c r="E785" s="50"/>
      <c r="F785" s="51"/>
      <c r="G785" s="52"/>
      <c r="H785" s="53" t="str">
        <f t="shared" si="1"/>
        <v/>
      </c>
    </row>
    <row r="786">
      <c r="A786" s="47"/>
      <c r="C786" s="48"/>
      <c r="D786" s="49"/>
      <c r="E786" s="50"/>
      <c r="F786" s="51"/>
      <c r="G786" s="52"/>
      <c r="H786" s="53" t="str">
        <f t="shared" si="1"/>
        <v/>
      </c>
    </row>
    <row r="787">
      <c r="A787" s="47"/>
      <c r="C787" s="48"/>
      <c r="D787" s="49"/>
      <c r="E787" s="50"/>
      <c r="F787" s="51"/>
      <c r="G787" s="52"/>
      <c r="H787" s="53" t="str">
        <f t="shared" si="1"/>
        <v/>
      </c>
    </row>
    <row r="788">
      <c r="A788" s="47"/>
      <c r="C788" s="48"/>
      <c r="D788" s="49"/>
      <c r="E788" s="50"/>
      <c r="F788" s="51"/>
      <c r="G788" s="52"/>
      <c r="H788" s="53" t="str">
        <f t="shared" si="1"/>
        <v/>
      </c>
    </row>
    <row r="789">
      <c r="A789" s="47"/>
      <c r="C789" s="48"/>
      <c r="D789" s="49"/>
      <c r="E789" s="50"/>
      <c r="F789" s="51"/>
      <c r="G789" s="52"/>
      <c r="H789" s="53" t="str">
        <f t="shared" si="1"/>
        <v/>
      </c>
    </row>
    <row r="790">
      <c r="A790" s="47"/>
      <c r="C790" s="48"/>
      <c r="D790" s="49"/>
      <c r="E790" s="50"/>
      <c r="F790" s="51"/>
      <c r="G790" s="52"/>
      <c r="H790" s="53" t="str">
        <f t="shared" si="1"/>
        <v/>
      </c>
    </row>
    <row r="791">
      <c r="A791" s="47"/>
      <c r="C791" s="48"/>
      <c r="D791" s="49"/>
      <c r="E791" s="50"/>
      <c r="F791" s="51"/>
      <c r="G791" s="52"/>
      <c r="H791" s="53" t="str">
        <f t="shared" si="1"/>
        <v/>
      </c>
    </row>
    <row r="792">
      <c r="A792" s="47"/>
      <c r="C792" s="48"/>
      <c r="D792" s="49"/>
      <c r="E792" s="50"/>
      <c r="F792" s="51"/>
      <c r="G792" s="52"/>
      <c r="H792" s="53" t="str">
        <f t="shared" si="1"/>
        <v/>
      </c>
    </row>
    <row r="793">
      <c r="A793" s="47"/>
      <c r="C793" s="48"/>
      <c r="D793" s="49"/>
      <c r="E793" s="50"/>
      <c r="F793" s="51"/>
      <c r="G793" s="52"/>
      <c r="H793" s="53" t="str">
        <f t="shared" si="1"/>
        <v/>
      </c>
    </row>
    <row r="794">
      <c r="A794" s="47"/>
      <c r="C794" s="48"/>
      <c r="D794" s="49"/>
      <c r="E794" s="50"/>
      <c r="F794" s="51"/>
      <c r="G794" s="52"/>
      <c r="H794" s="53" t="str">
        <f t="shared" si="1"/>
        <v/>
      </c>
    </row>
    <row r="795">
      <c r="A795" s="47"/>
      <c r="C795" s="48"/>
      <c r="D795" s="49"/>
      <c r="E795" s="50"/>
      <c r="F795" s="51"/>
      <c r="G795" s="52"/>
      <c r="H795" s="53" t="str">
        <f t="shared" si="1"/>
        <v/>
      </c>
    </row>
    <row r="796">
      <c r="A796" s="47"/>
      <c r="C796" s="48"/>
      <c r="D796" s="49"/>
      <c r="E796" s="50"/>
      <c r="F796" s="51"/>
      <c r="G796" s="52"/>
      <c r="H796" s="53" t="str">
        <f t="shared" si="1"/>
        <v/>
      </c>
    </row>
    <row r="797">
      <c r="A797" s="47"/>
      <c r="C797" s="48"/>
      <c r="D797" s="49"/>
      <c r="E797" s="50"/>
      <c r="F797" s="51"/>
      <c r="G797" s="52"/>
      <c r="H797" s="53" t="str">
        <f t="shared" si="1"/>
        <v/>
      </c>
    </row>
    <row r="798">
      <c r="A798" s="47"/>
      <c r="C798" s="48"/>
      <c r="D798" s="49"/>
      <c r="E798" s="50"/>
      <c r="F798" s="51"/>
      <c r="G798" s="52"/>
      <c r="H798" s="53" t="str">
        <f t="shared" si="1"/>
        <v/>
      </c>
    </row>
    <row r="799">
      <c r="A799" s="47"/>
      <c r="C799" s="48"/>
      <c r="D799" s="49"/>
      <c r="E799" s="50"/>
      <c r="F799" s="51"/>
      <c r="G799" s="52"/>
      <c r="H799" s="53" t="str">
        <f t="shared" si="1"/>
        <v/>
      </c>
    </row>
    <row r="800">
      <c r="A800" s="47"/>
      <c r="C800" s="48"/>
      <c r="D800" s="49"/>
      <c r="E800" s="50"/>
      <c r="F800" s="51"/>
      <c r="G800" s="52"/>
      <c r="H800" s="53" t="str">
        <f t="shared" si="1"/>
        <v/>
      </c>
    </row>
    <row r="801">
      <c r="A801" s="47"/>
      <c r="C801" s="48"/>
      <c r="D801" s="49"/>
      <c r="E801" s="50"/>
      <c r="F801" s="51"/>
      <c r="G801" s="52"/>
      <c r="H801" s="53" t="str">
        <f t="shared" si="1"/>
        <v/>
      </c>
    </row>
    <row r="802">
      <c r="A802" s="47"/>
      <c r="C802" s="48"/>
      <c r="D802" s="49"/>
      <c r="E802" s="50"/>
      <c r="F802" s="51"/>
      <c r="G802" s="52"/>
      <c r="H802" s="53" t="str">
        <f t="shared" si="1"/>
        <v/>
      </c>
    </row>
    <row r="803">
      <c r="A803" s="47"/>
      <c r="C803" s="48"/>
      <c r="D803" s="49"/>
      <c r="E803" s="50"/>
      <c r="F803" s="51"/>
      <c r="G803" s="52"/>
      <c r="H803" s="53" t="str">
        <f t="shared" si="1"/>
        <v/>
      </c>
    </row>
    <row r="804">
      <c r="A804" s="47"/>
      <c r="C804" s="48"/>
      <c r="D804" s="49"/>
      <c r="E804" s="50"/>
      <c r="F804" s="51"/>
      <c r="G804" s="52"/>
      <c r="H804" s="53" t="str">
        <f t="shared" si="1"/>
        <v/>
      </c>
    </row>
    <row r="805">
      <c r="A805" s="47"/>
      <c r="C805" s="48"/>
      <c r="D805" s="49"/>
      <c r="E805" s="50"/>
      <c r="F805" s="51"/>
      <c r="G805" s="52"/>
      <c r="H805" s="53" t="str">
        <f t="shared" si="1"/>
        <v/>
      </c>
    </row>
    <row r="806">
      <c r="A806" s="47"/>
      <c r="C806" s="48"/>
      <c r="D806" s="49"/>
      <c r="E806" s="50"/>
      <c r="F806" s="51"/>
      <c r="G806" s="52"/>
      <c r="H806" s="53" t="str">
        <f t="shared" si="1"/>
        <v/>
      </c>
    </row>
    <row r="807">
      <c r="A807" s="47"/>
      <c r="C807" s="48"/>
      <c r="D807" s="49"/>
      <c r="E807" s="50"/>
      <c r="F807" s="51"/>
      <c r="G807" s="52"/>
      <c r="H807" s="53" t="str">
        <f t="shared" si="1"/>
        <v/>
      </c>
    </row>
    <row r="808">
      <c r="A808" s="47"/>
      <c r="C808" s="48"/>
      <c r="D808" s="49"/>
      <c r="E808" s="50"/>
      <c r="F808" s="51"/>
      <c r="G808" s="52"/>
      <c r="H808" s="53" t="str">
        <f t="shared" si="1"/>
        <v/>
      </c>
    </row>
    <row r="809">
      <c r="A809" s="47"/>
      <c r="C809" s="48"/>
      <c r="D809" s="49"/>
      <c r="E809" s="50"/>
      <c r="F809" s="51"/>
      <c r="G809" s="52"/>
      <c r="H809" s="53" t="str">
        <f t="shared" si="1"/>
        <v/>
      </c>
    </row>
    <row r="810">
      <c r="A810" s="47"/>
      <c r="C810" s="48"/>
      <c r="D810" s="49"/>
      <c r="E810" s="50"/>
      <c r="F810" s="51"/>
      <c r="G810" s="52"/>
      <c r="H810" s="53" t="str">
        <f t="shared" si="1"/>
        <v/>
      </c>
    </row>
    <row r="811">
      <c r="A811" s="47"/>
      <c r="C811" s="48"/>
      <c r="D811" s="49"/>
      <c r="E811" s="50"/>
      <c r="F811" s="51"/>
      <c r="G811" s="52"/>
      <c r="H811" s="53" t="str">
        <f t="shared" si="1"/>
        <v/>
      </c>
    </row>
    <row r="812">
      <c r="A812" s="47"/>
      <c r="C812" s="48"/>
      <c r="D812" s="49"/>
      <c r="E812" s="50"/>
      <c r="F812" s="51"/>
      <c r="G812" s="52"/>
      <c r="H812" s="53" t="str">
        <f t="shared" si="1"/>
        <v/>
      </c>
    </row>
    <row r="813">
      <c r="A813" s="47"/>
      <c r="C813" s="48"/>
      <c r="D813" s="49"/>
      <c r="E813" s="50"/>
      <c r="F813" s="51"/>
      <c r="G813" s="52"/>
      <c r="H813" s="53" t="str">
        <f t="shared" si="1"/>
        <v/>
      </c>
    </row>
    <row r="814">
      <c r="A814" s="47"/>
      <c r="C814" s="48"/>
      <c r="D814" s="49"/>
      <c r="E814" s="50"/>
      <c r="F814" s="51"/>
      <c r="G814" s="52"/>
      <c r="H814" s="53" t="str">
        <f t="shared" si="1"/>
        <v/>
      </c>
    </row>
    <row r="815">
      <c r="A815" s="47"/>
      <c r="C815" s="48"/>
      <c r="D815" s="49"/>
      <c r="E815" s="50"/>
      <c r="F815" s="51"/>
      <c r="G815" s="52"/>
      <c r="H815" s="53" t="str">
        <f t="shared" si="1"/>
        <v/>
      </c>
    </row>
    <row r="816">
      <c r="A816" s="47"/>
      <c r="C816" s="48"/>
      <c r="D816" s="49"/>
      <c r="E816" s="50"/>
      <c r="F816" s="51"/>
      <c r="G816" s="52"/>
      <c r="H816" s="53" t="str">
        <f t="shared" si="1"/>
        <v/>
      </c>
    </row>
    <row r="817">
      <c r="A817" s="47"/>
      <c r="C817" s="48"/>
      <c r="D817" s="49"/>
      <c r="E817" s="50"/>
      <c r="F817" s="51"/>
      <c r="G817" s="52"/>
      <c r="H817" s="53" t="str">
        <f t="shared" si="1"/>
        <v/>
      </c>
    </row>
    <row r="818">
      <c r="A818" s="47"/>
      <c r="C818" s="48"/>
      <c r="D818" s="49"/>
      <c r="E818" s="50"/>
      <c r="F818" s="51"/>
      <c r="G818" s="52"/>
      <c r="H818" s="53" t="str">
        <f t="shared" si="1"/>
        <v/>
      </c>
    </row>
    <row r="819">
      <c r="A819" s="47"/>
      <c r="C819" s="48"/>
      <c r="D819" s="49"/>
      <c r="E819" s="50"/>
      <c r="F819" s="51"/>
      <c r="G819" s="52"/>
      <c r="H819" s="53" t="str">
        <f t="shared" si="1"/>
        <v/>
      </c>
    </row>
    <row r="820">
      <c r="A820" s="47"/>
      <c r="C820" s="48"/>
      <c r="D820" s="49"/>
      <c r="E820" s="50"/>
      <c r="F820" s="51"/>
      <c r="G820" s="52"/>
      <c r="H820" s="53" t="str">
        <f t="shared" si="1"/>
        <v/>
      </c>
    </row>
    <row r="821">
      <c r="A821" s="47"/>
      <c r="C821" s="48"/>
      <c r="D821" s="49"/>
      <c r="E821" s="50"/>
      <c r="F821" s="51"/>
      <c r="G821" s="52"/>
      <c r="H821" s="53" t="str">
        <f t="shared" si="1"/>
        <v/>
      </c>
    </row>
    <row r="822">
      <c r="A822" s="47"/>
      <c r="C822" s="48"/>
      <c r="D822" s="49"/>
      <c r="E822" s="50"/>
      <c r="F822" s="51"/>
      <c r="G822" s="52"/>
      <c r="H822" s="53" t="str">
        <f t="shared" si="1"/>
        <v/>
      </c>
    </row>
    <row r="823">
      <c r="A823" s="47"/>
      <c r="C823" s="48"/>
      <c r="D823" s="49"/>
      <c r="E823" s="50"/>
      <c r="F823" s="51"/>
      <c r="G823" s="52"/>
      <c r="H823" s="53" t="str">
        <f t="shared" si="1"/>
        <v/>
      </c>
    </row>
    <row r="824">
      <c r="A824" s="47"/>
      <c r="C824" s="48"/>
      <c r="D824" s="49"/>
      <c r="E824" s="50"/>
      <c r="F824" s="51"/>
      <c r="G824" s="52"/>
      <c r="H824" s="53" t="str">
        <f t="shared" si="1"/>
        <v/>
      </c>
    </row>
    <row r="825">
      <c r="A825" s="47"/>
      <c r="C825" s="48"/>
      <c r="D825" s="49"/>
      <c r="E825" s="50"/>
      <c r="F825" s="51"/>
      <c r="G825" s="52"/>
      <c r="H825" s="53" t="str">
        <f t="shared" si="1"/>
        <v/>
      </c>
    </row>
    <row r="826">
      <c r="A826" s="47"/>
      <c r="C826" s="48"/>
      <c r="D826" s="49"/>
      <c r="E826" s="50"/>
      <c r="F826" s="51"/>
      <c r="G826" s="52"/>
      <c r="H826" s="53" t="str">
        <f t="shared" si="1"/>
        <v/>
      </c>
    </row>
    <row r="827">
      <c r="A827" s="47"/>
      <c r="C827" s="48"/>
      <c r="D827" s="49"/>
      <c r="E827" s="50"/>
      <c r="F827" s="51"/>
      <c r="G827" s="52"/>
      <c r="H827" s="53" t="str">
        <f t="shared" si="1"/>
        <v/>
      </c>
    </row>
    <row r="828">
      <c r="A828" s="47"/>
      <c r="C828" s="48"/>
      <c r="D828" s="49"/>
      <c r="E828" s="50"/>
      <c r="F828" s="51"/>
      <c r="G828" s="52"/>
      <c r="H828" s="53" t="str">
        <f t="shared" si="1"/>
        <v/>
      </c>
    </row>
    <row r="829">
      <c r="A829" s="47"/>
      <c r="C829" s="48"/>
      <c r="D829" s="49"/>
      <c r="E829" s="50"/>
      <c r="F829" s="51"/>
      <c r="G829" s="52"/>
      <c r="H829" s="53" t="str">
        <f t="shared" si="1"/>
        <v/>
      </c>
    </row>
    <row r="830">
      <c r="A830" s="47"/>
      <c r="C830" s="48"/>
      <c r="D830" s="49"/>
      <c r="E830" s="50"/>
      <c r="F830" s="51"/>
      <c r="G830" s="52"/>
      <c r="H830" s="53" t="str">
        <f t="shared" si="1"/>
        <v/>
      </c>
    </row>
    <row r="831">
      <c r="A831" s="47"/>
      <c r="C831" s="48"/>
      <c r="D831" s="49"/>
      <c r="E831" s="50"/>
      <c r="F831" s="51"/>
      <c r="G831" s="52"/>
      <c r="H831" s="53" t="str">
        <f t="shared" si="1"/>
        <v/>
      </c>
    </row>
    <row r="832">
      <c r="A832" s="47"/>
      <c r="C832" s="48"/>
      <c r="D832" s="49"/>
      <c r="E832" s="50"/>
      <c r="F832" s="51"/>
      <c r="G832" s="52"/>
      <c r="H832" s="53" t="str">
        <f t="shared" si="1"/>
        <v/>
      </c>
    </row>
    <row r="833">
      <c r="A833" s="47"/>
      <c r="C833" s="48"/>
      <c r="D833" s="49"/>
      <c r="E833" s="50"/>
      <c r="F833" s="51"/>
      <c r="G833" s="52"/>
      <c r="H833" s="53" t="str">
        <f t="shared" si="1"/>
        <v/>
      </c>
    </row>
    <row r="834">
      <c r="A834" s="47"/>
      <c r="C834" s="48"/>
      <c r="D834" s="49"/>
      <c r="E834" s="50"/>
      <c r="F834" s="51"/>
      <c r="G834" s="52"/>
      <c r="H834" s="53" t="str">
        <f t="shared" si="1"/>
        <v/>
      </c>
    </row>
    <row r="835">
      <c r="A835" s="47"/>
      <c r="C835" s="48"/>
      <c r="D835" s="49"/>
      <c r="E835" s="50"/>
      <c r="F835" s="51"/>
      <c r="G835" s="52"/>
      <c r="H835" s="53" t="str">
        <f t="shared" si="1"/>
        <v/>
      </c>
    </row>
    <row r="836">
      <c r="A836" s="47"/>
      <c r="C836" s="48"/>
      <c r="D836" s="49"/>
      <c r="E836" s="50"/>
      <c r="F836" s="51"/>
      <c r="G836" s="52"/>
      <c r="H836" s="53" t="str">
        <f t="shared" si="1"/>
        <v/>
      </c>
    </row>
    <row r="837">
      <c r="A837" s="47"/>
      <c r="C837" s="48"/>
      <c r="D837" s="49"/>
      <c r="E837" s="50"/>
      <c r="F837" s="51"/>
      <c r="G837" s="52"/>
      <c r="H837" s="53" t="str">
        <f t="shared" si="1"/>
        <v/>
      </c>
    </row>
    <row r="838">
      <c r="A838" s="47"/>
      <c r="C838" s="48"/>
      <c r="D838" s="49"/>
      <c r="E838" s="50"/>
      <c r="F838" s="51"/>
      <c r="G838" s="52"/>
      <c r="H838" s="53" t="str">
        <f t="shared" si="1"/>
        <v/>
      </c>
    </row>
    <row r="839">
      <c r="A839" s="47"/>
      <c r="C839" s="48"/>
      <c r="D839" s="49"/>
      <c r="E839" s="50"/>
      <c r="F839" s="51"/>
      <c r="G839" s="52"/>
      <c r="H839" s="53" t="str">
        <f t="shared" si="1"/>
        <v/>
      </c>
    </row>
    <row r="840">
      <c r="A840" s="47"/>
      <c r="C840" s="48"/>
      <c r="D840" s="49"/>
      <c r="E840" s="50"/>
      <c r="F840" s="51"/>
      <c r="G840" s="52"/>
      <c r="H840" s="53" t="str">
        <f t="shared" si="1"/>
        <v/>
      </c>
    </row>
    <row r="841">
      <c r="A841" s="47"/>
      <c r="C841" s="48"/>
      <c r="D841" s="49"/>
      <c r="E841" s="50"/>
      <c r="F841" s="51"/>
      <c r="G841" s="52"/>
      <c r="H841" s="53" t="str">
        <f t="shared" si="1"/>
        <v/>
      </c>
    </row>
    <row r="842">
      <c r="A842" s="47"/>
      <c r="C842" s="48"/>
      <c r="D842" s="49"/>
      <c r="E842" s="50"/>
      <c r="F842" s="51"/>
      <c r="G842" s="52"/>
      <c r="H842" s="53" t="str">
        <f t="shared" si="1"/>
        <v/>
      </c>
    </row>
    <row r="843">
      <c r="A843" s="47"/>
      <c r="C843" s="48"/>
      <c r="D843" s="49"/>
      <c r="E843" s="50"/>
      <c r="F843" s="51"/>
      <c r="G843" s="52"/>
      <c r="H843" s="53" t="str">
        <f t="shared" si="1"/>
        <v/>
      </c>
    </row>
    <row r="844">
      <c r="A844" s="47"/>
      <c r="C844" s="48"/>
      <c r="D844" s="49"/>
      <c r="E844" s="50"/>
      <c r="F844" s="51"/>
      <c r="G844" s="52"/>
      <c r="H844" s="53" t="str">
        <f t="shared" si="1"/>
        <v/>
      </c>
    </row>
    <row r="845">
      <c r="A845" s="47"/>
      <c r="C845" s="48"/>
      <c r="D845" s="49"/>
      <c r="E845" s="50"/>
      <c r="F845" s="51"/>
      <c r="G845" s="52"/>
      <c r="H845" s="53" t="str">
        <f t="shared" si="1"/>
        <v/>
      </c>
    </row>
    <row r="846">
      <c r="A846" s="47"/>
      <c r="C846" s="48"/>
      <c r="D846" s="49"/>
      <c r="E846" s="50"/>
      <c r="F846" s="51"/>
      <c r="G846" s="52"/>
      <c r="H846" s="53" t="str">
        <f t="shared" si="1"/>
        <v/>
      </c>
    </row>
    <row r="847">
      <c r="A847" s="47"/>
      <c r="C847" s="48"/>
      <c r="D847" s="49"/>
      <c r="E847" s="50"/>
      <c r="F847" s="51"/>
      <c r="G847" s="52"/>
      <c r="H847" s="53" t="str">
        <f t="shared" si="1"/>
        <v/>
      </c>
    </row>
    <row r="848">
      <c r="A848" s="47"/>
      <c r="C848" s="48"/>
      <c r="D848" s="49"/>
      <c r="E848" s="50"/>
      <c r="F848" s="51"/>
      <c r="G848" s="52"/>
      <c r="H848" s="53" t="str">
        <f t="shared" si="1"/>
        <v/>
      </c>
    </row>
    <row r="849">
      <c r="A849" s="47"/>
      <c r="C849" s="48"/>
      <c r="D849" s="49"/>
      <c r="E849" s="50"/>
      <c r="F849" s="51"/>
      <c r="G849" s="52"/>
      <c r="H849" s="53" t="str">
        <f t="shared" si="1"/>
        <v/>
      </c>
    </row>
    <row r="850">
      <c r="A850" s="47"/>
      <c r="C850" s="48"/>
      <c r="D850" s="49"/>
      <c r="E850" s="50"/>
      <c r="F850" s="51"/>
      <c r="G850" s="52"/>
      <c r="H850" s="53" t="str">
        <f t="shared" si="1"/>
        <v/>
      </c>
    </row>
    <row r="851">
      <c r="A851" s="47"/>
      <c r="C851" s="48"/>
      <c r="D851" s="49"/>
      <c r="E851" s="50"/>
      <c r="F851" s="51"/>
      <c r="G851" s="52"/>
      <c r="H851" s="53" t="str">
        <f t="shared" si="1"/>
        <v/>
      </c>
    </row>
    <row r="852">
      <c r="A852" s="47"/>
      <c r="C852" s="48"/>
      <c r="D852" s="49"/>
      <c r="E852" s="50"/>
      <c r="F852" s="51"/>
      <c r="G852" s="52"/>
      <c r="H852" s="53" t="str">
        <f t="shared" si="1"/>
        <v/>
      </c>
    </row>
    <row r="853">
      <c r="A853" s="47"/>
      <c r="C853" s="48"/>
      <c r="D853" s="49"/>
      <c r="E853" s="50"/>
      <c r="F853" s="51"/>
      <c r="G853" s="52"/>
      <c r="H853" s="53" t="str">
        <f t="shared" si="1"/>
        <v/>
      </c>
    </row>
    <row r="854">
      <c r="A854" s="47"/>
      <c r="C854" s="48"/>
      <c r="D854" s="49"/>
      <c r="E854" s="50"/>
      <c r="F854" s="51"/>
      <c r="G854" s="52"/>
      <c r="H854" s="53" t="str">
        <f t="shared" si="1"/>
        <v/>
      </c>
    </row>
    <row r="855">
      <c r="A855" s="47"/>
      <c r="C855" s="48"/>
      <c r="D855" s="49"/>
      <c r="E855" s="50"/>
      <c r="F855" s="51"/>
      <c r="G855" s="52"/>
      <c r="H855" s="53" t="str">
        <f t="shared" si="1"/>
        <v/>
      </c>
    </row>
    <row r="856">
      <c r="A856" s="47"/>
      <c r="C856" s="48"/>
      <c r="D856" s="49"/>
      <c r="E856" s="50"/>
      <c r="F856" s="51"/>
      <c r="G856" s="52"/>
      <c r="H856" s="53" t="str">
        <f t="shared" si="1"/>
        <v/>
      </c>
    </row>
    <row r="857">
      <c r="A857" s="47"/>
      <c r="C857" s="48"/>
      <c r="D857" s="49"/>
      <c r="E857" s="50"/>
      <c r="F857" s="51"/>
      <c r="G857" s="52"/>
      <c r="H857" s="53" t="str">
        <f t="shared" si="1"/>
        <v/>
      </c>
    </row>
    <row r="858">
      <c r="A858" s="47"/>
      <c r="C858" s="48"/>
      <c r="D858" s="49"/>
      <c r="E858" s="50"/>
      <c r="F858" s="51"/>
      <c r="G858" s="52"/>
      <c r="H858" s="53" t="str">
        <f t="shared" si="1"/>
        <v/>
      </c>
    </row>
    <row r="859">
      <c r="A859" s="47"/>
      <c r="C859" s="48"/>
      <c r="D859" s="49"/>
      <c r="E859" s="50"/>
      <c r="F859" s="51"/>
      <c r="G859" s="52"/>
      <c r="H859" s="53" t="str">
        <f t="shared" si="1"/>
        <v/>
      </c>
    </row>
    <row r="860">
      <c r="A860" s="47"/>
      <c r="C860" s="48"/>
      <c r="D860" s="49"/>
      <c r="E860" s="50"/>
      <c r="F860" s="51"/>
      <c r="G860" s="52"/>
      <c r="H860" s="53" t="str">
        <f t="shared" si="1"/>
        <v/>
      </c>
    </row>
    <row r="861">
      <c r="A861" s="47"/>
      <c r="C861" s="48"/>
      <c r="D861" s="49"/>
      <c r="E861" s="50"/>
      <c r="F861" s="51"/>
      <c r="G861" s="52"/>
      <c r="H861" s="53" t="str">
        <f t="shared" si="1"/>
        <v/>
      </c>
    </row>
    <row r="862">
      <c r="A862" s="47"/>
      <c r="C862" s="48"/>
      <c r="D862" s="49"/>
      <c r="E862" s="50"/>
      <c r="F862" s="51"/>
      <c r="G862" s="52"/>
      <c r="H862" s="53" t="str">
        <f t="shared" si="1"/>
        <v/>
      </c>
    </row>
    <row r="863">
      <c r="A863" s="47"/>
      <c r="C863" s="48"/>
      <c r="D863" s="49"/>
      <c r="E863" s="50"/>
      <c r="F863" s="51"/>
      <c r="G863" s="52"/>
      <c r="H863" s="53" t="str">
        <f t="shared" si="1"/>
        <v/>
      </c>
    </row>
    <row r="864">
      <c r="A864" s="47"/>
      <c r="C864" s="48"/>
      <c r="D864" s="49"/>
      <c r="E864" s="50"/>
      <c r="F864" s="51"/>
      <c r="G864" s="52"/>
      <c r="H864" s="53" t="str">
        <f t="shared" si="1"/>
        <v/>
      </c>
    </row>
    <row r="865">
      <c r="A865" s="47"/>
      <c r="C865" s="48"/>
      <c r="D865" s="49"/>
      <c r="E865" s="50"/>
      <c r="F865" s="51"/>
      <c r="G865" s="52"/>
      <c r="H865" s="53" t="str">
        <f t="shared" si="1"/>
        <v/>
      </c>
    </row>
    <row r="866">
      <c r="A866" s="47"/>
      <c r="C866" s="48"/>
      <c r="D866" s="49"/>
      <c r="E866" s="50"/>
      <c r="F866" s="51"/>
      <c r="G866" s="52"/>
      <c r="H866" s="53" t="str">
        <f t="shared" si="1"/>
        <v/>
      </c>
    </row>
    <row r="867">
      <c r="A867" s="47"/>
      <c r="C867" s="48"/>
      <c r="D867" s="49"/>
      <c r="E867" s="50"/>
      <c r="F867" s="51"/>
      <c r="G867" s="52"/>
      <c r="H867" s="53" t="str">
        <f t="shared" si="1"/>
        <v/>
      </c>
    </row>
    <row r="868">
      <c r="A868" s="47"/>
      <c r="C868" s="48"/>
      <c r="D868" s="49"/>
      <c r="E868" s="50"/>
      <c r="F868" s="51"/>
      <c r="G868" s="52"/>
      <c r="H868" s="53" t="str">
        <f t="shared" si="1"/>
        <v/>
      </c>
    </row>
    <row r="869">
      <c r="A869" s="47"/>
      <c r="C869" s="48"/>
      <c r="D869" s="49"/>
      <c r="E869" s="50"/>
      <c r="F869" s="51"/>
      <c r="G869" s="52"/>
      <c r="H869" s="53" t="str">
        <f t="shared" si="1"/>
        <v/>
      </c>
    </row>
    <row r="870">
      <c r="A870" s="47"/>
      <c r="C870" s="48"/>
      <c r="D870" s="49"/>
      <c r="E870" s="50"/>
      <c r="F870" s="51"/>
      <c r="G870" s="52"/>
      <c r="H870" s="53" t="str">
        <f t="shared" si="1"/>
        <v/>
      </c>
    </row>
    <row r="871">
      <c r="A871" s="47"/>
      <c r="C871" s="48"/>
      <c r="D871" s="49"/>
      <c r="E871" s="50"/>
      <c r="F871" s="51"/>
      <c r="G871" s="52"/>
      <c r="H871" s="53" t="str">
        <f t="shared" si="1"/>
        <v/>
      </c>
    </row>
    <row r="872">
      <c r="A872" s="47"/>
      <c r="C872" s="48"/>
      <c r="D872" s="49"/>
      <c r="E872" s="50"/>
      <c r="F872" s="51"/>
      <c r="G872" s="52"/>
      <c r="H872" s="53" t="str">
        <f t="shared" si="1"/>
        <v/>
      </c>
    </row>
    <row r="873">
      <c r="A873" s="47"/>
      <c r="C873" s="48"/>
      <c r="D873" s="49"/>
      <c r="E873" s="50"/>
      <c r="F873" s="51"/>
      <c r="G873" s="52"/>
      <c r="H873" s="53" t="str">
        <f t="shared" si="1"/>
        <v/>
      </c>
    </row>
    <row r="874">
      <c r="A874" s="47"/>
      <c r="C874" s="48"/>
      <c r="D874" s="49"/>
      <c r="E874" s="50"/>
      <c r="F874" s="51"/>
      <c r="G874" s="52"/>
      <c r="H874" s="53" t="str">
        <f t="shared" si="1"/>
        <v/>
      </c>
    </row>
    <row r="875">
      <c r="A875" s="47"/>
      <c r="C875" s="48"/>
      <c r="D875" s="49"/>
      <c r="E875" s="50"/>
      <c r="F875" s="51"/>
      <c r="G875" s="52"/>
      <c r="H875" s="53" t="str">
        <f t="shared" si="1"/>
        <v/>
      </c>
    </row>
    <row r="876">
      <c r="A876" s="47"/>
      <c r="C876" s="48"/>
      <c r="D876" s="49"/>
      <c r="E876" s="50"/>
      <c r="F876" s="51"/>
      <c r="G876" s="52"/>
      <c r="H876" s="53" t="str">
        <f t="shared" si="1"/>
        <v/>
      </c>
    </row>
    <row r="877">
      <c r="A877" s="47"/>
      <c r="C877" s="48"/>
      <c r="D877" s="49"/>
      <c r="E877" s="50"/>
      <c r="F877" s="51"/>
      <c r="G877" s="52"/>
      <c r="H877" s="53" t="str">
        <f t="shared" si="1"/>
        <v/>
      </c>
    </row>
    <row r="878">
      <c r="A878" s="47"/>
      <c r="C878" s="48"/>
      <c r="D878" s="49"/>
      <c r="E878" s="50"/>
      <c r="F878" s="51"/>
      <c r="G878" s="52"/>
      <c r="H878" s="53" t="str">
        <f t="shared" si="1"/>
        <v/>
      </c>
    </row>
    <row r="879">
      <c r="A879" s="47"/>
      <c r="C879" s="48"/>
      <c r="D879" s="49"/>
      <c r="E879" s="50"/>
      <c r="F879" s="51"/>
      <c r="G879" s="52"/>
      <c r="H879" s="53" t="str">
        <f t="shared" si="1"/>
        <v/>
      </c>
    </row>
    <row r="880">
      <c r="A880" s="47"/>
      <c r="C880" s="48"/>
      <c r="D880" s="49"/>
      <c r="E880" s="50"/>
      <c r="F880" s="51"/>
      <c r="G880" s="52"/>
      <c r="H880" s="53" t="str">
        <f t="shared" si="1"/>
        <v/>
      </c>
    </row>
    <row r="881">
      <c r="A881" s="47"/>
      <c r="C881" s="48"/>
      <c r="D881" s="49"/>
      <c r="E881" s="50"/>
      <c r="F881" s="51"/>
      <c r="G881" s="52"/>
      <c r="H881" s="53" t="str">
        <f t="shared" si="1"/>
        <v/>
      </c>
    </row>
    <row r="882">
      <c r="A882" s="47"/>
      <c r="C882" s="48"/>
      <c r="D882" s="49"/>
      <c r="E882" s="50"/>
      <c r="F882" s="51"/>
      <c r="G882" s="52"/>
      <c r="H882" s="53" t="str">
        <f t="shared" si="1"/>
        <v/>
      </c>
    </row>
    <row r="883">
      <c r="A883" s="47"/>
      <c r="C883" s="48"/>
      <c r="D883" s="49"/>
      <c r="E883" s="50"/>
      <c r="F883" s="51"/>
      <c r="G883" s="52"/>
      <c r="H883" s="53" t="str">
        <f t="shared" si="1"/>
        <v/>
      </c>
    </row>
    <row r="884">
      <c r="A884" s="47"/>
      <c r="C884" s="48"/>
      <c r="D884" s="49"/>
      <c r="E884" s="50"/>
      <c r="F884" s="51"/>
      <c r="G884" s="52"/>
      <c r="H884" s="53" t="str">
        <f t="shared" si="1"/>
        <v/>
      </c>
    </row>
    <row r="885">
      <c r="A885" s="47"/>
      <c r="C885" s="48"/>
      <c r="D885" s="49"/>
      <c r="E885" s="50"/>
      <c r="F885" s="51"/>
      <c r="G885" s="52"/>
      <c r="H885" s="53" t="str">
        <f t="shared" si="1"/>
        <v/>
      </c>
    </row>
    <row r="886">
      <c r="A886" s="47"/>
      <c r="C886" s="48"/>
      <c r="D886" s="49"/>
      <c r="E886" s="50"/>
      <c r="F886" s="51"/>
      <c r="G886" s="52"/>
      <c r="H886" s="53" t="str">
        <f t="shared" si="1"/>
        <v/>
      </c>
    </row>
    <row r="887">
      <c r="A887" s="47"/>
      <c r="C887" s="48"/>
      <c r="D887" s="49"/>
      <c r="E887" s="50"/>
      <c r="F887" s="51"/>
      <c r="G887" s="52"/>
      <c r="H887" s="53" t="str">
        <f t="shared" si="1"/>
        <v/>
      </c>
    </row>
    <row r="888">
      <c r="A888" s="47"/>
      <c r="C888" s="48"/>
      <c r="D888" s="49"/>
      <c r="E888" s="50"/>
      <c r="F888" s="51"/>
      <c r="G888" s="52"/>
      <c r="H888" s="53" t="str">
        <f t="shared" si="1"/>
        <v/>
      </c>
    </row>
    <row r="889">
      <c r="A889" s="47"/>
      <c r="C889" s="48"/>
      <c r="D889" s="49"/>
      <c r="E889" s="50"/>
      <c r="F889" s="51"/>
      <c r="G889" s="52"/>
      <c r="H889" s="53" t="str">
        <f t="shared" si="1"/>
        <v/>
      </c>
    </row>
    <row r="890">
      <c r="A890" s="47"/>
      <c r="C890" s="48"/>
      <c r="D890" s="49"/>
      <c r="E890" s="50"/>
      <c r="F890" s="51"/>
      <c r="G890" s="52"/>
      <c r="H890" s="53" t="str">
        <f t="shared" si="1"/>
        <v/>
      </c>
    </row>
    <row r="891">
      <c r="A891" s="47"/>
      <c r="C891" s="48"/>
      <c r="D891" s="49"/>
      <c r="E891" s="50"/>
      <c r="F891" s="51"/>
      <c r="G891" s="52"/>
      <c r="H891" s="53" t="str">
        <f t="shared" si="1"/>
        <v/>
      </c>
    </row>
    <row r="892">
      <c r="A892" s="47"/>
      <c r="C892" s="48"/>
      <c r="D892" s="49"/>
      <c r="E892" s="50"/>
      <c r="F892" s="51"/>
      <c r="G892" s="52"/>
      <c r="H892" s="53" t="str">
        <f t="shared" si="1"/>
        <v/>
      </c>
    </row>
    <row r="893">
      <c r="A893" s="47"/>
      <c r="C893" s="48"/>
      <c r="D893" s="49"/>
      <c r="E893" s="50"/>
      <c r="F893" s="51"/>
      <c r="G893" s="52"/>
      <c r="H893" s="53" t="str">
        <f t="shared" si="1"/>
        <v/>
      </c>
    </row>
    <row r="894">
      <c r="A894" s="47"/>
      <c r="C894" s="48"/>
      <c r="D894" s="49"/>
      <c r="E894" s="50"/>
      <c r="F894" s="51"/>
      <c r="G894" s="52"/>
      <c r="H894" s="53" t="str">
        <f t="shared" si="1"/>
        <v/>
      </c>
    </row>
    <row r="895">
      <c r="A895" s="47"/>
      <c r="C895" s="48"/>
      <c r="D895" s="49"/>
      <c r="E895" s="50"/>
      <c r="F895" s="51"/>
      <c r="G895" s="52"/>
      <c r="H895" s="53" t="str">
        <f t="shared" si="1"/>
        <v/>
      </c>
    </row>
    <row r="896">
      <c r="A896" s="47"/>
      <c r="C896" s="48"/>
      <c r="D896" s="49"/>
      <c r="E896" s="50"/>
      <c r="F896" s="51"/>
      <c r="G896" s="52"/>
      <c r="H896" s="53" t="str">
        <f t="shared" si="1"/>
        <v/>
      </c>
    </row>
    <row r="897">
      <c r="A897" s="47"/>
      <c r="C897" s="48"/>
      <c r="D897" s="49"/>
      <c r="E897" s="50"/>
      <c r="F897" s="51"/>
      <c r="G897" s="52"/>
      <c r="H897" s="53" t="str">
        <f t="shared" si="1"/>
        <v/>
      </c>
    </row>
    <row r="898">
      <c r="A898" s="47"/>
      <c r="C898" s="48"/>
      <c r="D898" s="49"/>
      <c r="E898" s="50"/>
      <c r="F898" s="51"/>
      <c r="G898" s="52"/>
      <c r="H898" s="53" t="str">
        <f t="shared" si="1"/>
        <v/>
      </c>
    </row>
    <row r="899">
      <c r="A899" s="47"/>
      <c r="C899" s="48"/>
      <c r="D899" s="49"/>
      <c r="E899" s="50"/>
      <c r="F899" s="51"/>
      <c r="G899" s="52"/>
      <c r="H899" s="53" t="str">
        <f t="shared" si="1"/>
        <v/>
      </c>
    </row>
    <row r="900">
      <c r="A900" s="47"/>
      <c r="C900" s="48"/>
      <c r="D900" s="49"/>
      <c r="E900" s="50"/>
      <c r="F900" s="51"/>
      <c r="G900" s="52"/>
      <c r="H900" s="53" t="str">
        <f t="shared" si="1"/>
        <v/>
      </c>
    </row>
    <row r="901">
      <c r="A901" s="47"/>
      <c r="C901" s="48"/>
      <c r="D901" s="49"/>
      <c r="E901" s="50"/>
      <c r="F901" s="51"/>
      <c r="G901" s="52"/>
      <c r="H901" s="53" t="str">
        <f t="shared" si="1"/>
        <v/>
      </c>
    </row>
    <row r="902">
      <c r="A902" s="47"/>
      <c r="C902" s="48"/>
      <c r="D902" s="49"/>
      <c r="E902" s="50"/>
      <c r="F902" s="51"/>
      <c r="G902" s="52"/>
      <c r="H902" s="53" t="str">
        <f t="shared" si="1"/>
        <v/>
      </c>
    </row>
    <row r="903">
      <c r="A903" s="47"/>
      <c r="C903" s="48"/>
      <c r="D903" s="49"/>
      <c r="E903" s="50"/>
      <c r="F903" s="51"/>
      <c r="G903" s="52"/>
      <c r="H903" s="53" t="str">
        <f t="shared" si="1"/>
        <v/>
      </c>
    </row>
    <row r="904">
      <c r="A904" s="47"/>
      <c r="C904" s="48"/>
      <c r="D904" s="49"/>
      <c r="E904" s="50"/>
      <c r="F904" s="51"/>
      <c r="G904" s="52"/>
      <c r="H904" s="53" t="str">
        <f t="shared" si="1"/>
        <v/>
      </c>
    </row>
    <row r="905">
      <c r="A905" s="47"/>
      <c r="C905" s="48"/>
      <c r="D905" s="49"/>
      <c r="E905" s="50"/>
      <c r="F905" s="51"/>
      <c r="G905" s="52"/>
      <c r="H905" s="53" t="str">
        <f t="shared" si="1"/>
        <v/>
      </c>
    </row>
    <row r="906">
      <c r="A906" s="47"/>
      <c r="C906" s="48"/>
      <c r="D906" s="49"/>
      <c r="E906" s="50"/>
      <c r="F906" s="51"/>
      <c r="G906" s="52"/>
      <c r="H906" s="53" t="str">
        <f t="shared" si="1"/>
        <v/>
      </c>
    </row>
    <row r="907">
      <c r="A907" s="47"/>
      <c r="C907" s="48"/>
      <c r="D907" s="49"/>
      <c r="E907" s="50"/>
      <c r="F907" s="51"/>
      <c r="G907" s="52"/>
      <c r="H907" s="53" t="str">
        <f t="shared" si="1"/>
        <v/>
      </c>
    </row>
    <row r="908">
      <c r="A908" s="47"/>
      <c r="C908" s="48"/>
      <c r="D908" s="49"/>
      <c r="E908" s="50"/>
      <c r="F908" s="51"/>
      <c r="G908" s="52"/>
      <c r="H908" s="53" t="str">
        <f t="shared" si="1"/>
        <v/>
      </c>
    </row>
    <row r="909">
      <c r="A909" s="47"/>
      <c r="C909" s="48"/>
      <c r="D909" s="49"/>
      <c r="E909" s="50"/>
      <c r="F909" s="51"/>
      <c r="G909" s="52"/>
      <c r="H909" s="53" t="str">
        <f t="shared" si="1"/>
        <v/>
      </c>
    </row>
    <row r="910">
      <c r="A910" s="47"/>
      <c r="C910" s="48"/>
      <c r="D910" s="49"/>
      <c r="E910" s="50"/>
      <c r="F910" s="51"/>
      <c r="G910" s="52"/>
      <c r="H910" s="53" t="str">
        <f t="shared" si="1"/>
        <v/>
      </c>
    </row>
    <row r="911">
      <c r="A911" s="47"/>
      <c r="C911" s="48"/>
      <c r="D911" s="49"/>
      <c r="E911" s="50"/>
      <c r="F911" s="51"/>
      <c r="G911" s="52"/>
      <c r="H911" s="53" t="str">
        <f t="shared" si="1"/>
        <v/>
      </c>
    </row>
    <row r="912">
      <c r="A912" s="47"/>
      <c r="C912" s="48"/>
      <c r="D912" s="49"/>
      <c r="E912" s="50"/>
      <c r="F912" s="51"/>
      <c r="G912" s="52"/>
      <c r="H912" s="53" t="str">
        <f t="shared" si="1"/>
        <v/>
      </c>
    </row>
    <row r="913">
      <c r="A913" s="47"/>
      <c r="C913" s="48"/>
      <c r="D913" s="49"/>
      <c r="E913" s="50"/>
      <c r="F913" s="51"/>
      <c r="G913" s="52"/>
      <c r="H913" s="53" t="str">
        <f t="shared" si="1"/>
        <v/>
      </c>
    </row>
    <row r="914">
      <c r="A914" s="47"/>
      <c r="C914" s="48"/>
      <c r="D914" s="49"/>
      <c r="E914" s="50"/>
      <c r="F914" s="51"/>
      <c r="G914" s="52"/>
      <c r="H914" s="53" t="str">
        <f t="shared" si="1"/>
        <v/>
      </c>
    </row>
    <row r="915">
      <c r="A915" s="47"/>
      <c r="C915" s="48"/>
      <c r="D915" s="49"/>
      <c r="E915" s="50"/>
      <c r="F915" s="51"/>
      <c r="G915" s="52"/>
      <c r="H915" s="53" t="str">
        <f t="shared" si="1"/>
        <v/>
      </c>
    </row>
    <row r="916">
      <c r="A916" s="47"/>
      <c r="C916" s="48"/>
      <c r="D916" s="49"/>
      <c r="E916" s="50"/>
      <c r="F916" s="51"/>
      <c r="G916" s="52"/>
      <c r="H916" s="53" t="str">
        <f t="shared" si="1"/>
        <v/>
      </c>
    </row>
    <row r="917">
      <c r="A917" s="47"/>
      <c r="C917" s="48"/>
      <c r="D917" s="49"/>
      <c r="E917" s="50"/>
      <c r="F917" s="51"/>
      <c r="G917" s="52"/>
      <c r="H917" s="53" t="str">
        <f t="shared" si="1"/>
        <v/>
      </c>
    </row>
    <row r="918">
      <c r="A918" s="47"/>
      <c r="C918" s="48"/>
      <c r="D918" s="49"/>
      <c r="E918" s="50"/>
      <c r="F918" s="51"/>
      <c r="G918" s="52"/>
      <c r="H918" s="53" t="str">
        <f t="shared" si="1"/>
        <v/>
      </c>
    </row>
    <row r="919">
      <c r="A919" s="47"/>
      <c r="C919" s="48"/>
      <c r="D919" s="49"/>
      <c r="E919" s="50"/>
      <c r="F919" s="51"/>
      <c r="G919" s="52"/>
      <c r="H919" s="53" t="str">
        <f t="shared" si="1"/>
        <v/>
      </c>
    </row>
    <row r="920">
      <c r="A920" s="47"/>
      <c r="C920" s="48"/>
      <c r="D920" s="49"/>
      <c r="E920" s="50"/>
      <c r="F920" s="51"/>
      <c r="G920" s="52"/>
      <c r="H920" s="53" t="str">
        <f t="shared" si="1"/>
        <v/>
      </c>
    </row>
    <row r="921">
      <c r="A921" s="47"/>
      <c r="C921" s="48"/>
      <c r="D921" s="49"/>
      <c r="E921" s="50"/>
      <c r="F921" s="51"/>
      <c r="G921" s="52"/>
      <c r="H921" s="53" t="str">
        <f t="shared" si="1"/>
        <v/>
      </c>
    </row>
    <row r="922">
      <c r="A922" s="47"/>
      <c r="C922" s="48"/>
      <c r="D922" s="49"/>
      <c r="E922" s="50"/>
      <c r="F922" s="51"/>
      <c r="G922" s="52"/>
      <c r="H922" s="53" t="str">
        <f t="shared" si="1"/>
        <v/>
      </c>
    </row>
    <row r="923">
      <c r="A923" s="47"/>
      <c r="C923" s="48"/>
      <c r="D923" s="49"/>
      <c r="E923" s="50"/>
      <c r="F923" s="51"/>
      <c r="G923" s="52"/>
      <c r="H923" s="53" t="str">
        <f t="shared" si="1"/>
        <v/>
      </c>
    </row>
    <row r="924">
      <c r="A924" s="47"/>
      <c r="C924" s="48"/>
      <c r="D924" s="49"/>
      <c r="E924" s="50"/>
      <c r="F924" s="51"/>
      <c r="G924" s="52"/>
      <c r="H924" s="53" t="str">
        <f t="shared" si="1"/>
        <v/>
      </c>
    </row>
    <row r="925">
      <c r="A925" s="47"/>
      <c r="C925" s="48"/>
      <c r="D925" s="49"/>
      <c r="E925" s="50"/>
      <c r="F925" s="51"/>
      <c r="G925" s="52"/>
      <c r="H925" s="53" t="str">
        <f t="shared" si="1"/>
        <v/>
      </c>
    </row>
    <row r="926">
      <c r="A926" s="47"/>
      <c r="C926" s="48"/>
      <c r="D926" s="49"/>
      <c r="E926" s="50"/>
      <c r="F926" s="51"/>
      <c r="G926" s="52"/>
      <c r="H926" s="53" t="str">
        <f t="shared" si="1"/>
        <v/>
      </c>
    </row>
    <row r="927">
      <c r="A927" s="47"/>
      <c r="C927" s="48"/>
      <c r="D927" s="49"/>
      <c r="E927" s="50"/>
      <c r="F927" s="51"/>
      <c r="G927" s="52"/>
      <c r="H927" s="53" t="str">
        <f t="shared" si="1"/>
        <v/>
      </c>
    </row>
    <row r="928">
      <c r="A928" s="47"/>
      <c r="C928" s="48"/>
      <c r="D928" s="49"/>
      <c r="E928" s="50"/>
      <c r="F928" s="51"/>
      <c r="G928" s="52"/>
      <c r="H928" s="53" t="str">
        <f t="shared" si="1"/>
        <v/>
      </c>
    </row>
    <row r="929">
      <c r="A929" s="47"/>
      <c r="C929" s="48"/>
      <c r="D929" s="49"/>
      <c r="E929" s="50"/>
      <c r="F929" s="51"/>
      <c r="G929" s="52"/>
      <c r="H929" s="53" t="str">
        <f t="shared" si="1"/>
        <v/>
      </c>
    </row>
    <row r="930">
      <c r="A930" s="47"/>
      <c r="C930" s="48"/>
      <c r="D930" s="49"/>
      <c r="E930" s="50"/>
      <c r="F930" s="51"/>
      <c r="G930" s="52"/>
      <c r="H930" s="53" t="str">
        <f t="shared" si="1"/>
        <v/>
      </c>
    </row>
    <row r="931">
      <c r="A931" s="47"/>
      <c r="C931" s="48"/>
      <c r="D931" s="49"/>
      <c r="E931" s="50"/>
      <c r="F931" s="51"/>
      <c r="G931" s="52"/>
      <c r="H931" s="53" t="str">
        <f t="shared" si="1"/>
        <v/>
      </c>
    </row>
    <row r="932">
      <c r="A932" s="47"/>
      <c r="C932" s="48"/>
      <c r="D932" s="49"/>
      <c r="E932" s="50"/>
      <c r="F932" s="51"/>
      <c r="G932" s="52"/>
      <c r="H932" s="53" t="str">
        <f t="shared" si="1"/>
        <v/>
      </c>
    </row>
    <row r="933">
      <c r="A933" s="47"/>
      <c r="C933" s="48"/>
      <c r="D933" s="49"/>
      <c r="E933" s="50"/>
      <c r="F933" s="51"/>
      <c r="G933" s="52"/>
      <c r="H933" s="53" t="str">
        <f t="shared" si="1"/>
        <v/>
      </c>
    </row>
    <row r="934">
      <c r="A934" s="47"/>
      <c r="C934" s="48"/>
      <c r="D934" s="49"/>
      <c r="E934" s="50"/>
      <c r="F934" s="51"/>
      <c r="G934" s="52"/>
      <c r="H934" s="53" t="str">
        <f t="shared" si="1"/>
        <v/>
      </c>
    </row>
    <row r="935">
      <c r="A935" s="47"/>
      <c r="C935" s="48"/>
      <c r="D935" s="49"/>
      <c r="E935" s="50"/>
      <c r="F935" s="51"/>
      <c r="G935" s="52"/>
      <c r="H935" s="53" t="str">
        <f t="shared" si="1"/>
        <v/>
      </c>
    </row>
    <row r="936">
      <c r="A936" s="47"/>
      <c r="C936" s="48"/>
      <c r="D936" s="49"/>
      <c r="E936" s="50"/>
      <c r="F936" s="51"/>
      <c r="G936" s="52"/>
      <c r="H936" s="53" t="str">
        <f t="shared" si="1"/>
        <v/>
      </c>
    </row>
    <row r="937">
      <c r="A937" s="47"/>
      <c r="C937" s="48"/>
      <c r="D937" s="49"/>
      <c r="E937" s="50"/>
      <c r="F937" s="51"/>
      <c r="G937" s="52"/>
      <c r="H937" s="53" t="str">
        <f t="shared" si="1"/>
        <v/>
      </c>
    </row>
    <row r="938">
      <c r="A938" s="47"/>
      <c r="C938" s="48"/>
      <c r="D938" s="49"/>
      <c r="E938" s="50"/>
      <c r="F938" s="51"/>
      <c r="G938" s="52"/>
      <c r="H938" s="53" t="str">
        <f t="shared" si="1"/>
        <v/>
      </c>
    </row>
    <row r="939">
      <c r="A939" s="47"/>
      <c r="C939" s="48"/>
      <c r="D939" s="49"/>
      <c r="E939" s="50"/>
      <c r="F939" s="51"/>
      <c r="G939" s="52"/>
      <c r="H939" s="53" t="str">
        <f t="shared" si="1"/>
        <v/>
      </c>
    </row>
    <row r="940">
      <c r="A940" s="47"/>
      <c r="C940" s="48"/>
      <c r="D940" s="49"/>
      <c r="E940" s="50"/>
      <c r="F940" s="51"/>
      <c r="G940" s="52"/>
      <c r="H940" s="53" t="str">
        <f t="shared" si="1"/>
        <v/>
      </c>
    </row>
    <row r="941">
      <c r="A941" s="47"/>
      <c r="C941" s="48"/>
      <c r="D941" s="49"/>
      <c r="E941" s="50"/>
      <c r="F941" s="51"/>
      <c r="G941" s="52"/>
      <c r="H941" s="53" t="str">
        <f t="shared" si="1"/>
        <v/>
      </c>
    </row>
    <row r="942">
      <c r="A942" s="47"/>
      <c r="C942" s="48"/>
      <c r="D942" s="49"/>
      <c r="E942" s="50"/>
      <c r="F942" s="51"/>
      <c r="G942" s="52"/>
      <c r="H942" s="53" t="str">
        <f t="shared" si="1"/>
        <v/>
      </c>
    </row>
    <row r="943">
      <c r="A943" s="47"/>
      <c r="C943" s="48"/>
      <c r="D943" s="49"/>
      <c r="E943" s="50"/>
      <c r="F943" s="51"/>
      <c r="G943" s="52"/>
      <c r="H943" s="53" t="str">
        <f t="shared" si="1"/>
        <v/>
      </c>
    </row>
    <row r="944">
      <c r="A944" s="47"/>
      <c r="C944" s="48"/>
      <c r="D944" s="49"/>
      <c r="E944" s="50"/>
      <c r="F944" s="51"/>
      <c r="G944" s="52"/>
      <c r="H944" s="53" t="str">
        <f t="shared" si="1"/>
        <v/>
      </c>
    </row>
    <row r="945">
      <c r="A945" s="47"/>
      <c r="C945" s="48"/>
      <c r="D945" s="49"/>
      <c r="E945" s="50"/>
      <c r="F945" s="51"/>
      <c r="G945" s="52"/>
      <c r="H945" s="53" t="str">
        <f t="shared" si="1"/>
        <v/>
      </c>
    </row>
    <row r="946">
      <c r="A946" s="47"/>
      <c r="C946" s="48"/>
      <c r="D946" s="49"/>
      <c r="E946" s="50"/>
      <c r="F946" s="51"/>
      <c r="G946" s="52"/>
      <c r="H946" s="53" t="str">
        <f t="shared" si="1"/>
        <v/>
      </c>
    </row>
    <row r="947">
      <c r="A947" s="47"/>
      <c r="C947" s="48"/>
      <c r="D947" s="49"/>
      <c r="E947" s="50"/>
      <c r="F947" s="51"/>
      <c r="G947" s="52"/>
      <c r="H947" s="53" t="str">
        <f t="shared" si="1"/>
        <v/>
      </c>
    </row>
    <row r="948">
      <c r="A948" s="47"/>
      <c r="C948" s="48"/>
      <c r="D948" s="49"/>
      <c r="E948" s="50"/>
      <c r="F948" s="51"/>
      <c r="G948" s="52"/>
      <c r="H948" s="53" t="str">
        <f t="shared" si="1"/>
        <v/>
      </c>
    </row>
    <row r="949">
      <c r="A949" s="47"/>
      <c r="C949" s="48"/>
      <c r="D949" s="49"/>
      <c r="E949" s="50"/>
      <c r="F949" s="51"/>
      <c r="G949" s="52"/>
      <c r="H949" s="53" t="str">
        <f t="shared" si="1"/>
        <v/>
      </c>
    </row>
    <row r="950">
      <c r="A950" s="47"/>
      <c r="C950" s="48"/>
      <c r="D950" s="49"/>
      <c r="E950" s="50"/>
      <c r="F950" s="51"/>
      <c r="G950" s="52"/>
      <c r="H950" s="53" t="str">
        <f t="shared" si="1"/>
        <v/>
      </c>
    </row>
    <row r="951">
      <c r="A951" s="47"/>
      <c r="C951" s="48"/>
      <c r="D951" s="49"/>
      <c r="E951" s="50"/>
      <c r="F951" s="51"/>
      <c r="G951" s="52"/>
      <c r="H951" s="53" t="str">
        <f t="shared" si="1"/>
        <v/>
      </c>
    </row>
    <row r="952">
      <c r="A952" s="47"/>
      <c r="C952" s="48"/>
      <c r="D952" s="49"/>
      <c r="E952" s="50"/>
      <c r="F952" s="51"/>
      <c r="G952" s="52"/>
      <c r="H952" s="53" t="str">
        <f t="shared" si="1"/>
        <v/>
      </c>
    </row>
    <row r="953">
      <c r="A953" s="47"/>
      <c r="C953" s="48"/>
      <c r="D953" s="49"/>
      <c r="E953" s="50"/>
      <c r="F953" s="51"/>
      <c r="G953" s="52"/>
      <c r="H953" s="53" t="str">
        <f t="shared" si="1"/>
        <v/>
      </c>
    </row>
    <row r="954">
      <c r="A954" s="47"/>
      <c r="C954" s="48"/>
      <c r="D954" s="49"/>
      <c r="E954" s="50"/>
      <c r="F954" s="51"/>
      <c r="G954" s="52"/>
      <c r="H954" s="53" t="str">
        <f t="shared" si="1"/>
        <v/>
      </c>
    </row>
    <row r="955">
      <c r="A955" s="47"/>
      <c r="C955" s="48"/>
      <c r="D955" s="49"/>
      <c r="E955" s="50"/>
      <c r="F955" s="51"/>
      <c r="G955" s="52"/>
      <c r="H955" s="53" t="str">
        <f t="shared" si="1"/>
        <v/>
      </c>
    </row>
    <row r="956">
      <c r="A956" s="47"/>
      <c r="C956" s="48"/>
      <c r="D956" s="49"/>
      <c r="E956" s="50"/>
      <c r="F956" s="51"/>
      <c r="G956" s="52"/>
      <c r="H956" s="53" t="str">
        <f t="shared" si="1"/>
        <v/>
      </c>
    </row>
    <row r="957">
      <c r="A957" s="47"/>
      <c r="C957" s="48"/>
      <c r="D957" s="49"/>
      <c r="E957" s="50"/>
      <c r="F957" s="51"/>
      <c r="G957" s="52"/>
      <c r="H957" s="53" t="str">
        <f t="shared" si="1"/>
        <v/>
      </c>
    </row>
    <row r="958">
      <c r="A958" s="47"/>
      <c r="C958" s="48"/>
      <c r="D958" s="49"/>
      <c r="E958" s="50"/>
      <c r="F958" s="51"/>
      <c r="G958" s="52"/>
      <c r="H958" s="53" t="str">
        <f t="shared" si="1"/>
        <v/>
      </c>
    </row>
    <row r="959">
      <c r="A959" s="47"/>
      <c r="C959" s="48"/>
      <c r="D959" s="49"/>
      <c r="E959" s="50"/>
      <c r="F959" s="51"/>
      <c r="G959" s="52"/>
      <c r="H959" s="53" t="str">
        <f t="shared" si="1"/>
        <v/>
      </c>
    </row>
    <row r="960">
      <c r="A960" s="47"/>
      <c r="C960" s="48"/>
      <c r="D960" s="49"/>
      <c r="E960" s="50"/>
      <c r="F960" s="51"/>
      <c r="G960" s="52"/>
      <c r="H960" s="53" t="str">
        <f t="shared" si="1"/>
        <v/>
      </c>
    </row>
    <row r="961">
      <c r="A961" s="47"/>
      <c r="C961" s="48"/>
      <c r="D961" s="49"/>
      <c r="E961" s="50"/>
      <c r="F961" s="51"/>
      <c r="G961" s="52"/>
      <c r="H961" s="53" t="str">
        <f t="shared" si="1"/>
        <v/>
      </c>
    </row>
    <row r="962">
      <c r="A962" s="47"/>
      <c r="C962" s="48"/>
      <c r="D962" s="49"/>
      <c r="E962" s="50"/>
      <c r="F962" s="51"/>
      <c r="G962" s="52"/>
      <c r="H962" s="53" t="str">
        <f t="shared" si="1"/>
        <v/>
      </c>
    </row>
    <row r="963">
      <c r="A963" s="47"/>
      <c r="C963" s="48"/>
      <c r="D963" s="49"/>
      <c r="E963" s="50"/>
      <c r="F963" s="51"/>
      <c r="G963" s="52"/>
      <c r="H963" s="53" t="str">
        <f t="shared" si="1"/>
        <v/>
      </c>
    </row>
    <row r="964">
      <c r="A964" s="47"/>
      <c r="C964" s="48"/>
      <c r="D964" s="49"/>
      <c r="E964" s="50"/>
      <c r="F964" s="51"/>
      <c r="G964" s="52"/>
      <c r="H964" s="53" t="str">
        <f t="shared" si="1"/>
        <v/>
      </c>
    </row>
    <row r="965">
      <c r="A965" s="47"/>
      <c r="C965" s="48"/>
      <c r="D965" s="49"/>
      <c r="E965" s="50"/>
      <c r="F965" s="51"/>
      <c r="G965" s="52"/>
      <c r="H965" s="53" t="str">
        <f t="shared" si="1"/>
        <v/>
      </c>
    </row>
    <row r="966">
      <c r="A966" s="47"/>
      <c r="C966" s="48"/>
      <c r="D966" s="49"/>
      <c r="E966" s="50"/>
      <c r="F966" s="51"/>
      <c r="G966" s="52"/>
      <c r="H966" s="53" t="str">
        <f t="shared" si="1"/>
        <v/>
      </c>
    </row>
    <row r="967">
      <c r="A967" s="47"/>
      <c r="C967" s="48"/>
      <c r="D967" s="49"/>
      <c r="E967" s="50"/>
      <c r="F967" s="51"/>
      <c r="G967" s="52"/>
      <c r="H967" s="53" t="str">
        <f t="shared" si="1"/>
        <v/>
      </c>
    </row>
    <row r="968">
      <c r="A968" s="47"/>
      <c r="C968" s="48"/>
      <c r="D968" s="49"/>
      <c r="E968" s="50"/>
      <c r="F968" s="51"/>
      <c r="G968" s="52"/>
      <c r="H968" s="53" t="str">
        <f t="shared" si="1"/>
        <v/>
      </c>
    </row>
    <row r="969">
      <c r="A969" s="47"/>
      <c r="C969" s="48"/>
      <c r="D969" s="49"/>
      <c r="E969" s="50"/>
      <c r="F969" s="51"/>
      <c r="G969" s="52"/>
      <c r="H969" s="53" t="str">
        <f t="shared" si="1"/>
        <v/>
      </c>
    </row>
    <row r="970">
      <c r="A970" s="47"/>
      <c r="C970" s="48"/>
      <c r="D970" s="49"/>
      <c r="E970" s="50"/>
      <c r="F970" s="51"/>
      <c r="G970" s="52"/>
      <c r="H970" s="53" t="str">
        <f t="shared" si="1"/>
        <v/>
      </c>
    </row>
    <row r="971">
      <c r="A971" s="47"/>
      <c r="C971" s="48"/>
      <c r="D971" s="49"/>
      <c r="E971" s="50"/>
      <c r="F971" s="51"/>
      <c r="G971" s="52"/>
      <c r="H971" s="53" t="str">
        <f t="shared" si="1"/>
        <v/>
      </c>
    </row>
    <row r="972">
      <c r="A972" s="47"/>
      <c r="C972" s="48"/>
      <c r="D972" s="49"/>
      <c r="E972" s="50"/>
      <c r="F972" s="51"/>
      <c r="G972" s="52"/>
      <c r="H972" s="53" t="str">
        <f t="shared" si="1"/>
        <v/>
      </c>
    </row>
    <row r="973">
      <c r="A973" s="47"/>
      <c r="C973" s="48"/>
      <c r="D973" s="49"/>
      <c r="E973" s="50"/>
      <c r="F973" s="51"/>
      <c r="G973" s="52"/>
      <c r="H973" s="53" t="str">
        <f t="shared" si="1"/>
        <v/>
      </c>
    </row>
    <row r="974">
      <c r="A974" s="47"/>
      <c r="C974" s="48"/>
      <c r="D974" s="49"/>
      <c r="E974" s="50"/>
      <c r="F974" s="51"/>
      <c r="G974" s="52"/>
      <c r="H974" s="53" t="str">
        <f t="shared" si="1"/>
        <v/>
      </c>
    </row>
    <row r="975">
      <c r="A975" s="47"/>
      <c r="C975" s="48"/>
      <c r="D975" s="49"/>
      <c r="E975" s="50"/>
      <c r="F975" s="51"/>
      <c r="G975" s="52"/>
      <c r="H975" s="53" t="str">
        <f t="shared" si="1"/>
        <v/>
      </c>
    </row>
    <row r="976">
      <c r="A976" s="47"/>
      <c r="C976" s="48"/>
      <c r="D976" s="49"/>
      <c r="E976" s="50"/>
      <c r="F976" s="51"/>
      <c r="G976" s="52"/>
      <c r="H976" s="53" t="str">
        <f t="shared" si="1"/>
        <v/>
      </c>
    </row>
    <row r="977">
      <c r="A977" s="47"/>
      <c r="C977" s="48"/>
      <c r="D977" s="49"/>
      <c r="E977" s="50"/>
      <c r="F977" s="51"/>
      <c r="G977" s="52"/>
      <c r="H977" s="53" t="str">
        <f t="shared" si="1"/>
        <v/>
      </c>
    </row>
    <row r="978">
      <c r="A978" s="47"/>
      <c r="C978" s="48"/>
      <c r="D978" s="49"/>
      <c r="E978" s="50"/>
      <c r="F978" s="51"/>
      <c r="G978" s="52"/>
      <c r="H978" s="53" t="str">
        <f t="shared" si="1"/>
        <v/>
      </c>
    </row>
    <row r="979">
      <c r="A979" s="47"/>
      <c r="C979" s="48"/>
      <c r="D979" s="49"/>
      <c r="E979" s="50"/>
      <c r="F979" s="51"/>
      <c r="G979" s="52"/>
      <c r="H979" s="53" t="str">
        <f t="shared" si="1"/>
        <v/>
      </c>
    </row>
    <row r="980">
      <c r="A980" s="47"/>
      <c r="C980" s="48"/>
      <c r="D980" s="49"/>
      <c r="E980" s="50"/>
      <c r="F980" s="51"/>
      <c r="G980" s="52"/>
      <c r="H980" s="53" t="str">
        <f t="shared" si="1"/>
        <v/>
      </c>
    </row>
    <row r="981">
      <c r="A981" s="47"/>
      <c r="C981" s="48"/>
      <c r="D981" s="49"/>
      <c r="E981" s="50"/>
      <c r="F981" s="51"/>
      <c r="G981" s="52"/>
      <c r="H981" s="53" t="str">
        <f t="shared" si="1"/>
        <v/>
      </c>
    </row>
    <row r="982">
      <c r="A982" s="47"/>
      <c r="C982" s="48"/>
      <c r="D982" s="49"/>
      <c r="E982" s="50"/>
      <c r="F982" s="51"/>
      <c r="G982" s="52"/>
      <c r="H982" s="53" t="str">
        <f t="shared" si="1"/>
        <v/>
      </c>
    </row>
    <row r="983">
      <c r="A983" s="47"/>
      <c r="C983" s="48"/>
      <c r="D983" s="49"/>
      <c r="E983" s="50"/>
      <c r="F983" s="51"/>
      <c r="G983" s="52"/>
      <c r="H983" s="53" t="str">
        <f t="shared" si="1"/>
        <v/>
      </c>
    </row>
    <row r="984">
      <c r="A984" s="47"/>
      <c r="C984" s="48"/>
      <c r="D984" s="49"/>
      <c r="E984" s="50"/>
      <c r="F984" s="51"/>
      <c r="G984" s="52"/>
      <c r="H984" s="53" t="str">
        <f t="shared" si="1"/>
        <v/>
      </c>
    </row>
    <row r="985">
      <c r="A985" s="47"/>
      <c r="C985" s="48"/>
      <c r="D985" s="49"/>
      <c r="E985" s="50"/>
      <c r="F985" s="51"/>
      <c r="G985" s="52"/>
      <c r="H985" s="53" t="str">
        <f t="shared" si="1"/>
        <v/>
      </c>
    </row>
    <row r="986">
      <c r="A986" s="47"/>
      <c r="C986" s="48"/>
      <c r="D986" s="49"/>
      <c r="E986" s="50"/>
      <c r="F986" s="51"/>
      <c r="G986" s="52"/>
      <c r="H986" s="53" t="str">
        <f t="shared" si="1"/>
        <v/>
      </c>
    </row>
    <row r="987">
      <c r="A987" s="47"/>
      <c r="C987" s="48"/>
      <c r="D987" s="49"/>
      <c r="E987" s="50"/>
      <c r="F987" s="51"/>
      <c r="G987" s="52"/>
      <c r="H987" s="53" t="str">
        <f t="shared" si="1"/>
        <v/>
      </c>
    </row>
    <row r="988">
      <c r="A988" s="47"/>
      <c r="C988" s="48"/>
      <c r="D988" s="49"/>
      <c r="E988" s="50"/>
      <c r="F988" s="51"/>
      <c r="G988" s="52"/>
      <c r="H988" s="53" t="str">
        <f t="shared" si="1"/>
        <v/>
      </c>
    </row>
    <row r="989">
      <c r="A989" s="47"/>
      <c r="C989" s="48"/>
      <c r="D989" s="49"/>
      <c r="E989" s="50"/>
      <c r="F989" s="51"/>
      <c r="G989" s="52"/>
      <c r="H989" s="53" t="str">
        <f t="shared" si="1"/>
        <v/>
      </c>
    </row>
    <row r="990">
      <c r="A990" s="47"/>
      <c r="C990" s="48"/>
      <c r="D990" s="49"/>
      <c r="E990" s="50"/>
      <c r="F990" s="51"/>
      <c r="G990" s="52"/>
      <c r="H990" s="53" t="str">
        <f t="shared" si="1"/>
        <v/>
      </c>
    </row>
    <row r="991">
      <c r="A991" s="47"/>
      <c r="C991" s="48"/>
      <c r="D991" s="49"/>
      <c r="E991" s="50"/>
      <c r="F991" s="51"/>
      <c r="G991" s="52"/>
      <c r="H991" s="53" t="str">
        <f t="shared" si="1"/>
        <v/>
      </c>
    </row>
    <row r="992">
      <c r="A992" s="47"/>
      <c r="C992" s="48"/>
      <c r="D992" s="49"/>
      <c r="E992" s="50"/>
      <c r="F992" s="51"/>
      <c r="G992" s="52"/>
      <c r="H992" s="53" t="str">
        <f t="shared" si="1"/>
        <v/>
      </c>
    </row>
    <row r="993">
      <c r="A993" s="47"/>
      <c r="C993" s="48"/>
      <c r="D993" s="49"/>
      <c r="E993" s="50"/>
      <c r="F993" s="51"/>
      <c r="G993" s="52"/>
      <c r="H993" s="53" t="str">
        <f t="shared" si="1"/>
        <v/>
      </c>
    </row>
    <row r="994">
      <c r="A994" s="47"/>
      <c r="C994" s="48"/>
      <c r="D994" s="49"/>
      <c r="E994" s="50"/>
      <c r="F994" s="51"/>
      <c r="G994" s="52"/>
      <c r="H994" s="53" t="str">
        <f t="shared" si="1"/>
        <v/>
      </c>
    </row>
    <row r="995">
      <c r="A995" s="47"/>
      <c r="C995" s="48"/>
      <c r="D995" s="49"/>
      <c r="E995" s="50"/>
      <c r="F995" s="51"/>
      <c r="G995" s="52"/>
      <c r="H995" s="53" t="str">
        <f t="shared" si="1"/>
        <v/>
      </c>
    </row>
    <row r="996">
      <c r="A996" s="47"/>
      <c r="C996" s="48"/>
      <c r="D996" s="49"/>
      <c r="E996" s="50"/>
      <c r="F996" s="51"/>
      <c r="G996" s="52"/>
      <c r="H996" s="53" t="str">
        <f t="shared" si="1"/>
        <v/>
      </c>
    </row>
    <row r="997">
      <c r="A997" s="47"/>
      <c r="C997" s="48"/>
      <c r="D997" s="49"/>
      <c r="E997" s="50"/>
      <c r="F997" s="51"/>
      <c r="G997" s="52"/>
      <c r="H997" s="53" t="str">
        <f t="shared" si="1"/>
        <v/>
      </c>
    </row>
    <row r="998">
      <c r="A998" s="47"/>
      <c r="C998" s="48"/>
      <c r="D998" s="49"/>
      <c r="E998" s="50"/>
      <c r="F998" s="51"/>
      <c r="G998" s="52"/>
      <c r="H998" s="53" t="str">
        <f t="shared" si="1"/>
        <v/>
      </c>
    </row>
    <row r="999">
      <c r="A999" s="47"/>
      <c r="C999" s="48"/>
      <c r="D999" s="49"/>
      <c r="E999" s="50"/>
      <c r="F999" s="51"/>
      <c r="G999" s="52"/>
      <c r="H999" s="53" t="str">
        <f t="shared" si="1"/>
        <v/>
      </c>
    </row>
    <row r="1000">
      <c r="A1000" s="47"/>
      <c r="C1000" s="48"/>
      <c r="D1000" s="49"/>
      <c r="E1000" s="50"/>
      <c r="F1000" s="51"/>
      <c r="G1000" s="52"/>
      <c r="H1000" s="53" t="str">
        <f t="shared" si="1"/>
        <v/>
      </c>
    </row>
    <row r="1001">
      <c r="A1001" s="47"/>
      <c r="C1001" s="48"/>
      <c r="D1001" s="49"/>
      <c r="E1001" s="50"/>
      <c r="F1001" s="51"/>
      <c r="G1001" s="52"/>
      <c r="H1001" s="53" t="str">
        <f t="shared" si="1"/>
        <v/>
      </c>
    </row>
    <row r="1002">
      <c r="A1002" s="47"/>
      <c r="C1002" s="48"/>
      <c r="D1002" s="49"/>
      <c r="E1002" s="50"/>
      <c r="F1002" s="51"/>
      <c r="G1002" s="52"/>
      <c r="H1002" s="53" t="str">
        <f t="shared" si="1"/>
        <v/>
      </c>
    </row>
    <row r="1003">
      <c r="A1003" s="47"/>
      <c r="C1003" s="48"/>
      <c r="D1003" s="49"/>
      <c r="E1003" s="50"/>
      <c r="F1003" s="51"/>
      <c r="G1003" s="52"/>
      <c r="H1003" s="53" t="str">
        <f t="shared" si="1"/>
        <v/>
      </c>
    </row>
    <row r="1004">
      <c r="A1004" s="47"/>
      <c r="C1004" s="48"/>
      <c r="D1004" s="49"/>
      <c r="E1004" s="50"/>
      <c r="F1004" s="51"/>
      <c r="G1004" s="52"/>
      <c r="H1004" s="53" t="str">
        <f t="shared" si="1"/>
        <v/>
      </c>
    </row>
    <row r="1005">
      <c r="A1005" s="47"/>
      <c r="C1005" s="48"/>
      <c r="D1005" s="49"/>
      <c r="E1005" s="50"/>
      <c r="F1005" s="51"/>
      <c r="G1005" s="52"/>
      <c r="H1005" s="53" t="str">
        <f t="shared" si="1"/>
        <v/>
      </c>
    </row>
    <row r="1006">
      <c r="A1006" s="47"/>
      <c r="C1006" s="48"/>
      <c r="D1006" s="49"/>
      <c r="E1006" s="50"/>
      <c r="F1006" s="51"/>
      <c r="G1006" s="52"/>
      <c r="H1006" s="53" t="str">
        <f t="shared" si="1"/>
        <v/>
      </c>
    </row>
    <row r="1007">
      <c r="A1007" s="47"/>
      <c r="C1007" s="48"/>
      <c r="D1007" s="49"/>
      <c r="E1007" s="50"/>
      <c r="F1007" s="51"/>
      <c r="G1007" s="52"/>
      <c r="H1007" s="53" t="str">
        <f t="shared" si="1"/>
        <v/>
      </c>
    </row>
    <row r="1008">
      <c r="A1008" s="47"/>
      <c r="C1008" s="48"/>
      <c r="D1008" s="49"/>
      <c r="E1008" s="50"/>
      <c r="F1008" s="51"/>
      <c r="G1008" s="52"/>
      <c r="H1008" s="53" t="str">
        <f t="shared" si="1"/>
        <v/>
      </c>
    </row>
    <row r="1009">
      <c r="A1009" s="47"/>
      <c r="C1009" s="48"/>
      <c r="D1009" s="49"/>
      <c r="E1009" s="50"/>
      <c r="F1009" s="51"/>
      <c r="G1009" s="52"/>
      <c r="H1009" s="53" t="str">
        <f t="shared" si="1"/>
        <v/>
      </c>
    </row>
    <row r="1010">
      <c r="A1010" s="47"/>
      <c r="C1010" s="48"/>
      <c r="D1010" s="49"/>
      <c r="E1010" s="50"/>
      <c r="F1010" s="51"/>
      <c r="G1010" s="52"/>
      <c r="H1010" s="53" t="str">
        <f t="shared" si="1"/>
        <v/>
      </c>
    </row>
    <row r="1011">
      <c r="A1011" s="47"/>
      <c r="C1011" s="48"/>
      <c r="D1011" s="49"/>
      <c r="E1011" s="50"/>
      <c r="F1011" s="51"/>
      <c r="G1011" s="52"/>
      <c r="H1011" s="53" t="str">
        <f t="shared" si="1"/>
        <v/>
      </c>
    </row>
    <row r="1012">
      <c r="A1012" s="47"/>
      <c r="C1012" s="48"/>
      <c r="D1012" s="49"/>
      <c r="E1012" s="50"/>
      <c r="F1012" s="51"/>
      <c r="G1012" s="52"/>
      <c r="H1012" s="53" t="str">
        <f t="shared" si="1"/>
        <v/>
      </c>
    </row>
    <row r="1013">
      <c r="A1013" s="47"/>
      <c r="C1013" s="48"/>
      <c r="D1013" s="49"/>
      <c r="E1013" s="50"/>
      <c r="F1013" s="51"/>
      <c r="G1013" s="52"/>
      <c r="H1013" s="53" t="str">
        <f t="shared" si="1"/>
        <v/>
      </c>
    </row>
    <row r="1014">
      <c r="A1014" s="47"/>
      <c r="C1014" s="48"/>
      <c r="D1014" s="49"/>
      <c r="E1014" s="50"/>
      <c r="F1014" s="51"/>
      <c r="G1014" s="52"/>
      <c r="H1014" s="53" t="str">
        <f t="shared" si="1"/>
        <v/>
      </c>
    </row>
    <row r="1015">
      <c r="A1015" s="47"/>
      <c r="C1015" s="48"/>
      <c r="D1015" s="49"/>
      <c r="E1015" s="50"/>
      <c r="F1015" s="51"/>
      <c r="G1015" s="52"/>
      <c r="H1015" s="53" t="str">
        <f t="shared" si="1"/>
        <v/>
      </c>
    </row>
    <row r="1016">
      <c r="A1016" s="47"/>
      <c r="C1016" s="48"/>
      <c r="D1016" s="49"/>
      <c r="E1016" s="50"/>
      <c r="F1016" s="51"/>
      <c r="G1016" s="52"/>
      <c r="H1016" s="53" t="str">
        <f t="shared" si="1"/>
        <v/>
      </c>
    </row>
    <row r="1017">
      <c r="A1017" s="47"/>
      <c r="C1017" s="48"/>
      <c r="D1017" s="49"/>
      <c r="E1017" s="50"/>
      <c r="F1017" s="51"/>
      <c r="G1017" s="52"/>
      <c r="H1017" s="53" t="str">
        <f t="shared" si="1"/>
        <v/>
      </c>
    </row>
    <row r="1018">
      <c r="A1018" s="47"/>
      <c r="C1018" s="48"/>
      <c r="D1018" s="49"/>
      <c r="E1018" s="50"/>
      <c r="F1018" s="51"/>
      <c r="G1018" s="52"/>
      <c r="H1018" s="53" t="str">
        <f t="shared" si="1"/>
        <v/>
      </c>
    </row>
    <row r="1019">
      <c r="A1019" s="47"/>
      <c r="C1019" s="48"/>
      <c r="D1019" s="49"/>
      <c r="E1019" s="50"/>
      <c r="F1019" s="51"/>
      <c r="G1019" s="52"/>
      <c r="H1019" s="53" t="str">
        <f t="shared" si="1"/>
        <v/>
      </c>
    </row>
    <row r="1020">
      <c r="A1020" s="47"/>
      <c r="C1020" s="48"/>
      <c r="D1020" s="49"/>
      <c r="E1020" s="50"/>
      <c r="F1020" s="51"/>
      <c r="G1020" s="52"/>
      <c r="H1020" s="53" t="str">
        <f t="shared" si="1"/>
        <v/>
      </c>
    </row>
    <row r="1021">
      <c r="A1021" s="47"/>
      <c r="C1021" s="48"/>
      <c r="D1021" s="49"/>
      <c r="E1021" s="50"/>
      <c r="F1021" s="51"/>
      <c r="G1021" s="52"/>
      <c r="H1021" s="53" t="str">
        <f t="shared" si="1"/>
        <v/>
      </c>
    </row>
    <row r="1022">
      <c r="A1022" s="47"/>
      <c r="C1022" s="48"/>
      <c r="D1022" s="49"/>
      <c r="E1022" s="50"/>
      <c r="F1022" s="51"/>
      <c r="G1022" s="52"/>
      <c r="H1022" s="53" t="str">
        <f t="shared" si="1"/>
        <v/>
      </c>
    </row>
    <row r="1023">
      <c r="A1023" s="47"/>
      <c r="C1023" s="48"/>
      <c r="D1023" s="49"/>
      <c r="E1023" s="50"/>
      <c r="F1023" s="51"/>
      <c r="G1023" s="52"/>
      <c r="H1023" s="53" t="str">
        <f t="shared" si="1"/>
        <v/>
      </c>
    </row>
    <row r="1024">
      <c r="A1024" s="47"/>
      <c r="C1024" s="48"/>
      <c r="D1024" s="49"/>
      <c r="E1024" s="50"/>
      <c r="F1024" s="51"/>
      <c r="G1024" s="52"/>
      <c r="H1024" s="53" t="str">
        <f t="shared" si="1"/>
        <v/>
      </c>
    </row>
    <row r="1025">
      <c r="A1025" s="47"/>
      <c r="C1025" s="48"/>
      <c r="D1025" s="49"/>
      <c r="E1025" s="50"/>
      <c r="F1025" s="51"/>
      <c r="G1025" s="52"/>
      <c r="H1025" s="53" t="str">
        <f t="shared" si="1"/>
        <v/>
      </c>
    </row>
    <row r="1026">
      <c r="A1026" s="47"/>
      <c r="C1026" s="48"/>
      <c r="D1026" s="49"/>
      <c r="E1026" s="50"/>
      <c r="F1026" s="51"/>
      <c r="G1026" s="52"/>
      <c r="H1026" s="53" t="str">
        <f t="shared" si="1"/>
        <v/>
      </c>
    </row>
    <row r="1027">
      <c r="A1027" s="47"/>
      <c r="C1027" s="48"/>
      <c r="D1027" s="49"/>
      <c r="E1027" s="50"/>
      <c r="F1027" s="51"/>
      <c r="G1027" s="52"/>
      <c r="H1027" s="53" t="str">
        <f t="shared" si="1"/>
        <v/>
      </c>
    </row>
    <row r="1028">
      <c r="A1028" s="47"/>
      <c r="C1028" s="48"/>
      <c r="D1028" s="49"/>
      <c r="E1028" s="50"/>
      <c r="F1028" s="51"/>
      <c r="G1028" s="52"/>
      <c r="H1028" s="53" t="str">
        <f t="shared" si="1"/>
        <v/>
      </c>
    </row>
    <row r="1029">
      <c r="A1029" s="47"/>
      <c r="C1029" s="48"/>
      <c r="D1029" s="49"/>
      <c r="E1029" s="50"/>
      <c r="F1029" s="51"/>
      <c r="G1029" s="52"/>
      <c r="H1029" s="53" t="str">
        <f t="shared" si="1"/>
        <v/>
      </c>
    </row>
    <row r="1030">
      <c r="A1030" s="47"/>
      <c r="C1030" s="48"/>
      <c r="D1030" s="49"/>
      <c r="E1030" s="50"/>
      <c r="F1030" s="51"/>
      <c r="G1030" s="52"/>
      <c r="H1030" s="53" t="str">
        <f t="shared" si="1"/>
        <v/>
      </c>
    </row>
    <row r="1031">
      <c r="A1031" s="47"/>
      <c r="C1031" s="48"/>
      <c r="D1031" s="49"/>
      <c r="E1031" s="50"/>
      <c r="F1031" s="51"/>
      <c r="G1031" s="52"/>
      <c r="H1031" s="53" t="str">
        <f t="shared" si="1"/>
        <v/>
      </c>
    </row>
    <row r="1032">
      <c r="A1032" s="47"/>
      <c r="C1032" s="48"/>
      <c r="D1032" s="49"/>
      <c r="E1032" s="50"/>
      <c r="F1032" s="51"/>
      <c r="G1032" s="52"/>
      <c r="H1032" s="53" t="str">
        <f t="shared" si="1"/>
        <v/>
      </c>
    </row>
    <row r="1033">
      <c r="A1033" s="47"/>
      <c r="C1033" s="48"/>
      <c r="D1033" s="49"/>
      <c r="E1033" s="50"/>
      <c r="F1033" s="51"/>
      <c r="G1033" s="52"/>
      <c r="H1033" s="53" t="str">
        <f t="shared" si="1"/>
        <v/>
      </c>
    </row>
    <row r="1034">
      <c r="A1034" s="47"/>
      <c r="C1034" s="48"/>
      <c r="D1034" s="49"/>
      <c r="E1034" s="50"/>
      <c r="F1034" s="51"/>
      <c r="G1034" s="52"/>
      <c r="H1034" s="53" t="str">
        <f t="shared" si="1"/>
        <v/>
      </c>
    </row>
    <row r="1035">
      <c r="A1035" s="47"/>
      <c r="C1035" s="48"/>
      <c r="D1035" s="49"/>
      <c r="E1035" s="50"/>
      <c r="F1035" s="51"/>
      <c r="G1035" s="52"/>
      <c r="H1035" s="53" t="str">
        <f t="shared" si="1"/>
        <v/>
      </c>
    </row>
    <row r="1036">
      <c r="A1036" s="47"/>
      <c r="C1036" s="48"/>
      <c r="D1036" s="49"/>
      <c r="E1036" s="50"/>
      <c r="F1036" s="51"/>
      <c r="G1036" s="52"/>
      <c r="H1036" s="53" t="str">
        <f t="shared" si="1"/>
        <v/>
      </c>
    </row>
    <row r="1037">
      <c r="A1037" s="47"/>
      <c r="C1037" s="48"/>
      <c r="D1037" s="49"/>
      <c r="E1037" s="50"/>
      <c r="F1037" s="51"/>
      <c r="G1037" s="52"/>
      <c r="H1037" s="53" t="str">
        <f t="shared" si="1"/>
        <v/>
      </c>
    </row>
    <row r="1038">
      <c r="A1038" s="47"/>
      <c r="C1038" s="48"/>
      <c r="D1038" s="49"/>
      <c r="E1038" s="50"/>
      <c r="F1038" s="51"/>
      <c r="G1038" s="52"/>
      <c r="H1038" s="53" t="str">
        <f t="shared" si="1"/>
        <v/>
      </c>
    </row>
    <row r="1039">
      <c r="A1039" s="47"/>
      <c r="C1039" s="48"/>
      <c r="D1039" s="49"/>
      <c r="E1039" s="50"/>
      <c r="F1039" s="51"/>
      <c r="G1039" s="52"/>
      <c r="H1039" s="53" t="str">
        <f t="shared" si="1"/>
        <v/>
      </c>
    </row>
    <row r="1040">
      <c r="A1040" s="47"/>
      <c r="C1040" s="48"/>
      <c r="D1040" s="49"/>
      <c r="E1040" s="50"/>
      <c r="F1040" s="51"/>
      <c r="G1040" s="52"/>
      <c r="H1040" s="53" t="str">
        <f t="shared" si="1"/>
        <v/>
      </c>
    </row>
    <row r="1041">
      <c r="A1041" s="47"/>
      <c r="C1041" s="48"/>
      <c r="D1041" s="49"/>
      <c r="E1041" s="50"/>
      <c r="F1041" s="51"/>
      <c r="G1041" s="52"/>
      <c r="H1041" s="53" t="str">
        <f t="shared" si="1"/>
        <v/>
      </c>
    </row>
    <row r="1042">
      <c r="A1042" s="47"/>
      <c r="C1042" s="48"/>
      <c r="D1042" s="49"/>
      <c r="E1042" s="50"/>
      <c r="F1042" s="51"/>
      <c r="G1042" s="52"/>
      <c r="H1042" s="53" t="str">
        <f t="shared" si="1"/>
        <v/>
      </c>
    </row>
    <row r="1043">
      <c r="A1043" s="47"/>
      <c r="C1043" s="48"/>
      <c r="D1043" s="49"/>
      <c r="E1043" s="50"/>
      <c r="F1043" s="51"/>
      <c r="G1043" s="52"/>
      <c r="H1043" s="53" t="str">
        <f t="shared" si="1"/>
        <v/>
      </c>
    </row>
    <row r="1044">
      <c r="A1044" s="47"/>
      <c r="C1044" s="48"/>
      <c r="D1044" s="49"/>
      <c r="E1044" s="50"/>
      <c r="F1044" s="51"/>
      <c r="G1044" s="52"/>
      <c r="H1044" s="53" t="str">
        <f t="shared" si="1"/>
        <v/>
      </c>
    </row>
    <row r="1045">
      <c r="A1045" s="47"/>
      <c r="C1045" s="48"/>
      <c r="D1045" s="49"/>
      <c r="E1045" s="50"/>
      <c r="F1045" s="51"/>
      <c r="G1045" s="52"/>
      <c r="H1045" s="53" t="str">
        <f t="shared" si="1"/>
        <v/>
      </c>
    </row>
    <row r="1046">
      <c r="A1046" s="47"/>
      <c r="C1046" s="48"/>
      <c r="D1046" s="49"/>
      <c r="E1046" s="50"/>
      <c r="F1046" s="51"/>
      <c r="G1046" s="52"/>
      <c r="H1046" s="53" t="str">
        <f t="shared" si="1"/>
        <v/>
      </c>
    </row>
    <row r="1047">
      <c r="A1047" s="47"/>
      <c r="C1047" s="48"/>
      <c r="D1047" s="49"/>
      <c r="E1047" s="50"/>
      <c r="F1047" s="51"/>
      <c r="G1047" s="52"/>
      <c r="H1047" s="53" t="str">
        <f t="shared" si="1"/>
        <v/>
      </c>
    </row>
    <row r="1048">
      <c r="A1048" s="47"/>
      <c r="C1048" s="48"/>
      <c r="D1048" s="49"/>
      <c r="E1048" s="50"/>
      <c r="F1048" s="51"/>
      <c r="G1048" s="52"/>
      <c r="H1048" s="53" t="str">
        <f t="shared" si="1"/>
        <v/>
      </c>
    </row>
    <row r="1049">
      <c r="A1049" s="47"/>
      <c r="C1049" s="48"/>
      <c r="D1049" s="49"/>
      <c r="E1049" s="50"/>
      <c r="F1049" s="51"/>
      <c r="G1049" s="52"/>
      <c r="H1049" s="53" t="str">
        <f t="shared" si="1"/>
        <v/>
      </c>
    </row>
    <row r="1050">
      <c r="A1050" s="47"/>
      <c r="C1050" s="48"/>
      <c r="D1050" s="49"/>
      <c r="E1050" s="50"/>
      <c r="F1050" s="51"/>
      <c r="G1050" s="52"/>
      <c r="H1050" s="53" t="str">
        <f t="shared" si="1"/>
        <v/>
      </c>
    </row>
    <row r="1051">
      <c r="A1051" s="47"/>
      <c r="C1051" s="48"/>
      <c r="D1051" s="49"/>
      <c r="E1051" s="50"/>
      <c r="F1051" s="51"/>
      <c r="G1051" s="52"/>
      <c r="H1051" s="53" t="str">
        <f t="shared" si="1"/>
        <v/>
      </c>
    </row>
    <row r="1052">
      <c r="A1052" s="47"/>
      <c r="C1052" s="48"/>
      <c r="D1052" s="49"/>
      <c r="E1052" s="50"/>
      <c r="F1052" s="51"/>
      <c r="G1052" s="52"/>
      <c r="H1052" s="53" t="str">
        <f t="shared" si="1"/>
        <v/>
      </c>
    </row>
    <row r="1053">
      <c r="A1053" s="47"/>
      <c r="C1053" s="48"/>
      <c r="D1053" s="49"/>
      <c r="E1053" s="50"/>
      <c r="F1053" s="51"/>
      <c r="G1053" s="52"/>
      <c r="H1053" s="53" t="str">
        <f t="shared" si="1"/>
        <v/>
      </c>
    </row>
    <row r="1054">
      <c r="A1054" s="47"/>
      <c r="C1054" s="48"/>
      <c r="D1054" s="49"/>
      <c r="E1054" s="50"/>
      <c r="F1054" s="51"/>
      <c r="G1054" s="52"/>
      <c r="H1054" s="53" t="str">
        <f t="shared" si="1"/>
        <v/>
      </c>
    </row>
    <row r="1055">
      <c r="A1055" s="47"/>
      <c r="C1055" s="48"/>
      <c r="D1055" s="49"/>
      <c r="E1055" s="50"/>
      <c r="F1055" s="51"/>
      <c r="G1055" s="52"/>
      <c r="H1055" s="53" t="str">
        <f t="shared" si="1"/>
        <v/>
      </c>
    </row>
    <row r="1056">
      <c r="A1056" s="47"/>
      <c r="C1056" s="48"/>
      <c r="D1056" s="49"/>
      <c r="E1056" s="50"/>
      <c r="F1056" s="51"/>
      <c r="G1056" s="52"/>
      <c r="H1056" s="53" t="str">
        <f t="shared" si="1"/>
        <v/>
      </c>
    </row>
    <row r="1057">
      <c r="A1057" s="47"/>
      <c r="C1057" s="48"/>
      <c r="D1057" s="49"/>
      <c r="E1057" s="50"/>
      <c r="F1057" s="51"/>
      <c r="G1057" s="52"/>
      <c r="H1057" s="53" t="str">
        <f t="shared" si="1"/>
        <v/>
      </c>
    </row>
    <row r="1058">
      <c r="A1058" s="47"/>
      <c r="C1058" s="48"/>
      <c r="D1058" s="49"/>
      <c r="E1058" s="50"/>
      <c r="F1058" s="51"/>
      <c r="G1058" s="52"/>
      <c r="H1058" s="53" t="str">
        <f t="shared" si="1"/>
        <v/>
      </c>
    </row>
    <row r="1059">
      <c r="A1059" s="47"/>
      <c r="C1059" s="48"/>
      <c r="D1059" s="49"/>
      <c r="E1059" s="50"/>
      <c r="F1059" s="51"/>
      <c r="G1059" s="52"/>
      <c r="H1059" s="53" t="str">
        <f t="shared" si="1"/>
        <v/>
      </c>
    </row>
    <row r="1060">
      <c r="A1060" s="47"/>
      <c r="C1060" s="48"/>
      <c r="D1060" s="49"/>
      <c r="E1060" s="50"/>
      <c r="F1060" s="51"/>
      <c r="G1060" s="52"/>
      <c r="H1060" s="53" t="str">
        <f t="shared" si="1"/>
        <v/>
      </c>
    </row>
    <row r="1061">
      <c r="A1061" s="47"/>
      <c r="C1061" s="48"/>
      <c r="D1061" s="49"/>
      <c r="E1061" s="50"/>
      <c r="F1061" s="51"/>
      <c r="G1061" s="52"/>
      <c r="H1061" s="53" t="str">
        <f t="shared" si="1"/>
        <v/>
      </c>
    </row>
    <row r="1062">
      <c r="A1062" s="47"/>
      <c r="C1062" s="48"/>
      <c r="D1062" s="49"/>
      <c r="E1062" s="50"/>
      <c r="F1062" s="51"/>
      <c r="G1062" s="52"/>
      <c r="H1062" s="53" t="str">
        <f t="shared" si="1"/>
        <v/>
      </c>
    </row>
    <row r="1063">
      <c r="A1063" s="47"/>
      <c r="C1063" s="48"/>
      <c r="D1063" s="49"/>
      <c r="E1063" s="50"/>
      <c r="F1063" s="51"/>
      <c r="G1063" s="52"/>
      <c r="H1063" s="53" t="str">
        <f t="shared" si="1"/>
        <v/>
      </c>
    </row>
    <row r="1064">
      <c r="A1064" s="47"/>
      <c r="C1064" s="48"/>
      <c r="D1064" s="49"/>
      <c r="E1064" s="50"/>
      <c r="F1064" s="51"/>
      <c r="G1064" s="52"/>
      <c r="H1064" s="53" t="str">
        <f t="shared" si="1"/>
        <v/>
      </c>
    </row>
    <row r="1065">
      <c r="A1065" s="47"/>
      <c r="C1065" s="48"/>
      <c r="D1065" s="49"/>
      <c r="E1065" s="50"/>
      <c r="F1065" s="51"/>
      <c r="G1065" s="52"/>
      <c r="H1065" s="53" t="str">
        <f t="shared" si="1"/>
        <v/>
      </c>
    </row>
    <row r="1066">
      <c r="A1066" s="47"/>
      <c r="C1066" s="48"/>
      <c r="D1066" s="49"/>
      <c r="E1066" s="50"/>
      <c r="F1066" s="51"/>
      <c r="G1066" s="52"/>
      <c r="H1066" s="53" t="str">
        <f t="shared" si="1"/>
        <v/>
      </c>
    </row>
    <row r="1067">
      <c r="A1067" s="47"/>
      <c r="C1067" s="48"/>
      <c r="D1067" s="49"/>
      <c r="E1067" s="50"/>
      <c r="F1067" s="51"/>
      <c r="G1067" s="52"/>
      <c r="H1067" s="53" t="str">
        <f t="shared" si="1"/>
        <v/>
      </c>
    </row>
    <row r="1068">
      <c r="A1068" s="47"/>
      <c r="C1068" s="48"/>
      <c r="D1068" s="49"/>
      <c r="E1068" s="50"/>
      <c r="F1068" s="51"/>
      <c r="G1068" s="52"/>
      <c r="H1068" s="53" t="str">
        <f t="shared" si="1"/>
        <v/>
      </c>
    </row>
    <row r="1069">
      <c r="A1069" s="47"/>
      <c r="C1069" s="48"/>
      <c r="D1069" s="49"/>
      <c r="E1069" s="50"/>
      <c r="F1069" s="51"/>
      <c r="G1069" s="52"/>
      <c r="H1069" s="53" t="str">
        <f t="shared" si="1"/>
        <v/>
      </c>
    </row>
    <row r="1070">
      <c r="A1070" s="47"/>
      <c r="C1070" s="48"/>
      <c r="D1070" s="49"/>
      <c r="E1070" s="50"/>
      <c r="F1070" s="51"/>
      <c r="G1070" s="52"/>
      <c r="H1070" s="53" t="str">
        <f t="shared" si="1"/>
        <v/>
      </c>
    </row>
    <row r="1071">
      <c r="A1071" s="47"/>
      <c r="C1071" s="48"/>
      <c r="D1071" s="49"/>
      <c r="E1071" s="50"/>
      <c r="F1071" s="51"/>
      <c r="G1071" s="52"/>
      <c r="H1071" s="53" t="str">
        <f t="shared" si="1"/>
        <v/>
      </c>
    </row>
    <row r="1072">
      <c r="A1072" s="47"/>
      <c r="C1072" s="48"/>
      <c r="D1072" s="49"/>
      <c r="E1072" s="50"/>
      <c r="F1072" s="51"/>
      <c r="G1072" s="52"/>
      <c r="H1072" s="53" t="str">
        <f t="shared" si="1"/>
        <v/>
      </c>
    </row>
    <row r="1073">
      <c r="A1073" s="47"/>
      <c r="C1073" s="48"/>
      <c r="D1073" s="49"/>
      <c r="E1073" s="50"/>
      <c r="F1073" s="51"/>
      <c r="G1073" s="52"/>
      <c r="H1073" s="53" t="str">
        <f t="shared" si="1"/>
        <v/>
      </c>
    </row>
    <row r="1074">
      <c r="A1074" s="47"/>
      <c r="C1074" s="48"/>
      <c r="D1074" s="49"/>
      <c r="E1074" s="50"/>
      <c r="F1074" s="51"/>
      <c r="G1074" s="52"/>
      <c r="H1074" s="53" t="str">
        <f t="shared" si="1"/>
        <v/>
      </c>
    </row>
    <row r="1075">
      <c r="A1075" s="47"/>
      <c r="C1075" s="48"/>
      <c r="D1075" s="49"/>
      <c r="E1075" s="50"/>
      <c r="F1075" s="51"/>
      <c r="G1075" s="52"/>
      <c r="H1075" s="53" t="str">
        <f t="shared" si="1"/>
        <v/>
      </c>
    </row>
    <row r="1076">
      <c r="A1076" s="47"/>
      <c r="C1076" s="48"/>
      <c r="D1076" s="49"/>
      <c r="E1076" s="50"/>
      <c r="F1076" s="51"/>
      <c r="G1076" s="52"/>
      <c r="H1076" s="53" t="str">
        <f t="shared" si="1"/>
        <v/>
      </c>
    </row>
    <row r="1077">
      <c r="A1077" s="47"/>
      <c r="C1077" s="48"/>
      <c r="D1077" s="49"/>
      <c r="E1077" s="50"/>
      <c r="F1077" s="51"/>
      <c r="G1077" s="52"/>
      <c r="H1077" s="53" t="str">
        <f t="shared" si="1"/>
        <v/>
      </c>
    </row>
    <row r="1078">
      <c r="A1078" s="47"/>
      <c r="C1078" s="48"/>
      <c r="D1078" s="49"/>
      <c r="E1078" s="50"/>
      <c r="F1078" s="51"/>
      <c r="G1078" s="52"/>
      <c r="H1078" s="53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9.71"/>
    <col customWidth="1" min="3" max="3" width="45.0"/>
  </cols>
  <sheetData>
    <row r="1">
      <c r="A1" s="3" t="s">
        <v>116</v>
      </c>
      <c r="B1" s="3" t="s">
        <v>60</v>
      </c>
      <c r="C1" s="3" t="s">
        <v>61</v>
      </c>
    </row>
    <row r="2">
      <c r="A2" s="56" t="s">
        <v>117</v>
      </c>
      <c r="B2" s="29" t="s">
        <v>118</v>
      </c>
      <c r="C2" s="29" t="s">
        <v>119</v>
      </c>
    </row>
    <row r="3">
      <c r="A3" s="56" t="s">
        <v>92</v>
      </c>
      <c r="B3" t="s">
        <v>118</v>
      </c>
      <c r="C3" t="s">
        <v>120</v>
      </c>
    </row>
    <row r="4">
      <c r="A4" s="56" t="s">
        <v>121</v>
      </c>
      <c r="B4" t="s">
        <v>122</v>
      </c>
      <c r="C4" t="s">
        <v>123</v>
      </c>
    </row>
    <row r="5">
      <c r="A5" s="56" t="s">
        <v>124</v>
      </c>
      <c r="B5" s="29" t="s">
        <v>122</v>
      </c>
      <c r="C5" s="29" t="s">
        <v>125</v>
      </c>
    </row>
    <row r="6">
      <c r="A6" s="56" t="s">
        <v>126</v>
      </c>
      <c r="B6" t="s">
        <v>127</v>
      </c>
      <c r="C6" t="s">
        <v>128</v>
      </c>
    </row>
    <row r="7">
      <c r="A7" s="56" t="s">
        <v>129</v>
      </c>
      <c r="B7" s="29" t="s">
        <v>127</v>
      </c>
      <c r="C7" s="29" t="s">
        <v>130</v>
      </c>
    </row>
    <row r="8">
      <c r="A8" s="56" t="s">
        <v>131</v>
      </c>
      <c r="B8" s="29" t="s">
        <v>127</v>
      </c>
      <c r="C8" s="29" t="s">
        <v>132</v>
      </c>
    </row>
    <row r="9">
      <c r="A9" s="56" t="s">
        <v>133</v>
      </c>
      <c r="B9" t="s">
        <v>134</v>
      </c>
      <c r="C9" t="s">
        <v>135</v>
      </c>
    </row>
    <row r="10">
      <c r="A10" s="56" t="s">
        <v>136</v>
      </c>
      <c r="B10" s="29" t="s">
        <v>134</v>
      </c>
      <c r="C10" s="29" t="s">
        <v>137</v>
      </c>
    </row>
    <row r="11">
      <c r="A11" s="56" t="s">
        <v>69</v>
      </c>
      <c r="B11" t="s">
        <v>138</v>
      </c>
      <c r="C11" t="s">
        <v>139</v>
      </c>
    </row>
    <row r="12">
      <c r="A12" s="56" t="s">
        <v>140</v>
      </c>
      <c r="B12" s="29" t="s">
        <v>138</v>
      </c>
      <c r="C12" s="29" t="s">
        <v>141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57" t="s">
        <v>148</v>
      </c>
      <c r="B1" s="57" t="s">
        <v>149</v>
      </c>
      <c r="C1" s="57" t="s">
        <v>150</v>
      </c>
      <c r="D1" s="57" t="s">
        <v>151</v>
      </c>
      <c r="E1" s="57" t="s">
        <v>152</v>
      </c>
    </row>
    <row r="2">
      <c r="A2" s="58">
        <f t="array" ref="A2">IF(ISNUMBER(INDEX(Investment!$T:$T,ROWS(Investment!$T:$T))),COUNTIFS(Investment!$W2:$W6,"&lt;&gt;HOLD*",Investment!$T2:$T6,"&lt;&gt;0"),0)</f>
        <v>0</v>
      </c>
      <c r="B2" s="59"/>
      <c r="C2" s="60"/>
      <c r="D2" s="55" t="s">
        <v>153</v>
      </c>
      <c r="E2" s="55" t="s">
        <v>154</v>
      </c>
    </row>
    <row r="3">
      <c r="A3" s="58">
        <f>IF(DateTime!$B$12,COUNTIFS(Investment!$AQ2:$AQ6,"&gt;"&amp;DateTime!B1-TIME(0,30,0),Investment!$AQ2:$AQ6,"&lt;"&amp;DateTime!B1-TIME(0,15,0)),0)</f>
        <v>0</v>
      </c>
      <c r="B3" s="59"/>
      <c r="C3" s="60"/>
      <c r="D3" s="55" t="s">
        <v>155</v>
      </c>
      <c r="E3" s="55" t="s">
        <v>156</v>
      </c>
    </row>
    <row r="4">
      <c r="A4" s="58">
        <f>COUNTIFS(Historic!$H:$H,"XXXXXX")</f>
        <v>0</v>
      </c>
      <c r="B4" s="59"/>
      <c r="C4" s="60"/>
      <c r="D4" s="55" t="s">
        <v>157</v>
      </c>
      <c r="E4" s="55" t="s">
        <v>158</v>
      </c>
    </row>
    <row r="5">
      <c r="A5" s="58">
        <f>IF(AND(DateTime!$B$6&gt;=28,Allocation!$B$13&lt;&gt;Allocation!$B$14),Allocation!$B$13,0)</f>
        <v>0</v>
      </c>
      <c r="B5" s="59"/>
      <c r="C5" s="60"/>
      <c r="D5" s="55" t="s">
        <v>160</v>
      </c>
      <c r="E5" s="55" t="s">
        <v>161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0"/>
    <col customWidth="1" min="2" max="2" width="17.14"/>
  </cols>
  <sheetData>
    <row r="1">
      <c r="A1" s="61" t="s">
        <v>165</v>
      </c>
      <c r="B1" s="62">
        <f>NOW()</f>
        <v>43781.50105</v>
      </c>
    </row>
    <row r="2">
      <c r="A2" s="61" t="s">
        <v>2</v>
      </c>
      <c r="B2" s="63">
        <f>DATEVALUE($B$1)</f>
        <v>43781</v>
      </c>
    </row>
    <row r="3">
      <c r="A3" s="61" t="s">
        <v>166</v>
      </c>
      <c r="B3" s="64">
        <f>TIMEVALUE($B$1)</f>
        <v>0.5010532407</v>
      </c>
    </row>
    <row r="4">
      <c r="A4" s="61" t="s">
        <v>167</v>
      </c>
      <c r="B4">
        <f>YEAR($B$1)</f>
        <v>2019</v>
      </c>
    </row>
    <row r="5">
      <c r="A5" s="61" t="s">
        <v>168</v>
      </c>
      <c r="B5">
        <f>MONTH($B$1)</f>
        <v>11</v>
      </c>
    </row>
    <row r="6">
      <c r="A6" s="61" t="s">
        <v>169</v>
      </c>
      <c r="B6">
        <f>DAY($B$1)</f>
        <v>12</v>
      </c>
    </row>
    <row r="7">
      <c r="A7" s="61" t="s">
        <v>174</v>
      </c>
      <c r="B7">
        <f>WEEKDAY($B$1,2)</f>
        <v>2</v>
      </c>
    </row>
    <row r="8">
      <c r="A8" s="65" t="s">
        <v>175</v>
      </c>
      <c r="B8" s="66">
        <v>1.0</v>
      </c>
    </row>
    <row r="9">
      <c r="A9" s="61" t="s">
        <v>176</v>
      </c>
      <c r="B9" s="55">
        <v>5.0</v>
      </c>
    </row>
    <row r="10">
      <c r="A10" s="61" t="s">
        <v>177</v>
      </c>
      <c r="B10" s="67">
        <f>TIME(9,0,0)</f>
        <v>0.375</v>
      </c>
    </row>
    <row r="11">
      <c r="A11" s="61" t="s">
        <v>178</v>
      </c>
      <c r="B11" s="67">
        <f>TIME(17,35,0)</f>
        <v>0.7326388889</v>
      </c>
    </row>
    <row r="12">
      <c r="A12" s="61" t="s">
        <v>179</v>
      </c>
      <c r="B12" s="55" t="b">
        <f>AND($B$7&gt;=$B$8,$B$7&lt;=$B$9,$B$3&gt;$B$10,$B$3&lt;$B$11)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8.14"/>
    <col customWidth="1" min="2" max="2" width="27.14"/>
  </cols>
  <sheetData>
    <row r="1" ht="14.25" customHeight="1">
      <c r="A1" s="68" t="s">
        <v>1</v>
      </c>
      <c r="B1" s="69">
        <f>B$36+B$28+B$18</f>
        <v>331524.8652</v>
      </c>
    </row>
    <row r="2" ht="14.25" customHeight="1">
      <c r="A2" s="70" t="s">
        <v>185</v>
      </c>
      <c r="B2" s="71">
        <f>$B$3/$B$7</f>
        <v>0.8492923654</v>
      </c>
    </row>
    <row r="3" ht="14.25" customHeight="1">
      <c r="A3" s="72" t="s">
        <v>186</v>
      </c>
      <c r="B3" s="73">
        <f>B$36-B$45</f>
        <v>114750.043</v>
      </c>
    </row>
    <row r="4" ht="14.25" customHeight="1">
      <c r="A4" s="72" t="s">
        <v>187</v>
      </c>
      <c r="B4" s="74">
        <f>B3/B$7/B$8</f>
        <v>0.09872821021</v>
      </c>
    </row>
    <row r="5" ht="14.25" customHeight="1">
      <c r="A5" s="72" t="s">
        <v>188</v>
      </c>
      <c r="B5" s="73">
        <f>SUMIF(Historic!D:D,"=DIVIDEND",Historic!G:G)</f>
        <v>25346.25</v>
      </c>
    </row>
    <row r="6" ht="14.25" customHeight="1">
      <c r="A6" s="72" t="s">
        <v>189</v>
      </c>
      <c r="B6" s="74">
        <f>B5/B$7/B$8</f>
        <v>0.0218073112</v>
      </c>
    </row>
    <row r="7" ht="14.25" customHeight="1">
      <c r="A7" s="72" t="s">
        <v>190</v>
      </c>
      <c r="B7" s="75">
        <f>AVERAGE(Evolution!J:J)</f>
        <v>135112.5333</v>
      </c>
    </row>
    <row r="8" ht="14.25" hidden="1" customHeight="1">
      <c r="A8" s="72" t="s">
        <v>191</v>
      </c>
      <c r="B8" s="76">
        <f t="array" ref="B8">(DateTime!$B$2-INDEX(Historic!A:A, ROWS(Historic!A:A)))/365.25</f>
        <v>8.602327173</v>
      </c>
    </row>
    <row r="9" ht="14.25" customHeight="1">
      <c r="A9" s="72" t="s">
        <v>191</v>
      </c>
      <c r="B9" s="77" t="str">
        <f>ROUNDUP(B8*12) &amp; " months (" &amp; ROUNDUP(B8,1) &amp;  " years)"</f>
        <v>104 months (8.7 years)</v>
      </c>
    </row>
    <row r="10" ht="14.25" customHeight="1">
      <c r="A10" s="72" t="s">
        <v>198</v>
      </c>
      <c r="B10" s="78" t="str">
        <f>ROUNDUP(B1/-B14) &amp; " months (" &amp; ROUNDUP(B1/-B14/12,1) &amp;  " years)"</f>
        <v>814 months (67.8 years)</v>
      </c>
    </row>
    <row r="11" ht="14.25" customHeight="1">
      <c r="A11" s="72" t="s">
        <v>199</v>
      </c>
      <c r="B11" s="78" t="str">
        <f>ROUNDUP(B12/(B13+B14)) &amp; " months (" &amp; ROUNDUP(B12/(B13+B14)/12,1) &amp;  " years)"</f>
        <v>64 months (5.3 years)</v>
      </c>
    </row>
    <row r="12" ht="14.25" customHeight="1">
      <c r="A12" s="72" t="s">
        <v>200</v>
      </c>
      <c r="B12" s="73">
        <f>B$1+B$14*12/$B6</f>
        <v>107206.5006</v>
      </c>
    </row>
    <row r="13" ht="14.25" customHeight="1">
      <c r="A13" s="79" t="s">
        <v>201</v>
      </c>
      <c r="B13" s="80">
        <f>(B45+B28+B18)/(12*B8)</f>
        <v>2099.96297</v>
      </c>
    </row>
    <row r="14" ht="14.25" customHeight="1">
      <c r="A14" s="81" t="s">
        <v>10</v>
      </c>
      <c r="B14" s="82">
        <f>AVERAGE(Expenses!B:B)</f>
        <v>-407.6483654</v>
      </c>
    </row>
    <row r="15" ht="14.25" customHeight="1">
      <c r="A15" s="83" t="s">
        <v>207</v>
      </c>
      <c r="B15" s="84">
        <f>-B$14/B$13</f>
        <v>0.1941216923</v>
      </c>
    </row>
    <row r="16" ht="14.25" customHeight="1">
      <c r="A16" s="83" t="s">
        <v>8</v>
      </c>
      <c r="B16" s="85">
        <f t="array" ref="B16">INDEX(Expenses!B:B,2)</f>
        <v>-40</v>
      </c>
    </row>
    <row r="17" ht="14.25" customHeight="1">
      <c r="A17" s="83" t="s">
        <v>12</v>
      </c>
      <c r="B17" s="85">
        <f>B$22+B$14</f>
        <v>264.0285035</v>
      </c>
    </row>
    <row r="18" ht="14.25" customHeight="1">
      <c r="A18" s="83" t="s">
        <v>3</v>
      </c>
      <c r="B18" s="86">
        <f>SUM(BankAccount!B:B)</f>
        <v>-16.25</v>
      </c>
    </row>
    <row r="19" ht="14.25" customHeight="1">
      <c r="A19" s="83" t="s">
        <v>208</v>
      </c>
      <c r="B19" s="87">
        <f>$B$21/$B$46*1000</f>
        <v>2.812184897</v>
      </c>
    </row>
    <row r="20" ht="14.25" customHeight="1">
      <c r="A20" s="83" t="s">
        <v>13</v>
      </c>
      <c r="B20" s="86">
        <f>ROUNDUP((SUM(Budget!B:B)+$B$18)/100)*100</f>
        <v>-500</v>
      </c>
    </row>
    <row r="21" ht="14.25" customHeight="1">
      <c r="A21" s="83" t="s">
        <v>44</v>
      </c>
      <c r="B21" s="87">
        <f t="array" ref="B21">INDEX(Investment!$AV:$AV,ROWS(Investment!$AV:$AV))+$B$56</f>
        <v>590.9990197</v>
      </c>
    </row>
    <row r="22" ht="14.25" customHeight="1">
      <c r="A22" s="83" t="s">
        <v>209</v>
      </c>
      <c r="B22" s="87">
        <f t="array" ref="B22">INDEX(AllocationHistoric!M:M,2)</f>
        <v>671.6768689</v>
      </c>
    </row>
    <row r="23" ht="14.25" customHeight="1">
      <c r="A23" s="83" t="s">
        <v>25</v>
      </c>
      <c r="B23" s="86">
        <f>AVERAGE(OFFSET(AllocationHistoric!$N:$N,1,0,12,1))</f>
        <v>15.33040829</v>
      </c>
    </row>
    <row r="24" ht="14.25" customHeight="1">
      <c r="A24" s="83" t="s">
        <v>23</v>
      </c>
      <c r="B24" s="86">
        <f>AVERAGE(OFFSET(AllocationHistoric!$H:$H,1,0,12,1))</f>
        <v>9108.711833</v>
      </c>
    </row>
    <row r="25" ht="14.25" customHeight="1">
      <c r="A25" s="83" t="s">
        <v>213</v>
      </c>
      <c r="B25" s="88">
        <f t="array" ref="B25">INDEX(AllocationHistoric!$B:$B,2)+$B$24</f>
        <v>348424.9518</v>
      </c>
    </row>
    <row r="26" ht="14.25" customHeight="1">
      <c r="A26" s="83" t="s">
        <v>214</v>
      </c>
      <c r="B26" s="88">
        <f>$B$36-$B$25</f>
        <v>-11374.90883</v>
      </c>
    </row>
    <row r="27" ht="14.25" customHeight="1">
      <c r="A27" s="89" t="s">
        <v>215</v>
      </c>
      <c r="B27" s="90">
        <f>$B$26/$B$24+1</f>
        <v>-0.2487944554</v>
      </c>
    </row>
    <row r="28" ht="14.25" customHeight="1">
      <c r="A28" s="91" t="s">
        <v>216</v>
      </c>
      <c r="B28" s="92">
        <f>SUM(B$29:B$31)</f>
        <v>-5508.927815</v>
      </c>
    </row>
    <row r="29" ht="14.25" customHeight="1">
      <c r="A29" s="91" t="s">
        <v>4</v>
      </c>
      <c r="B29" s="92">
        <f>SUMIF(Budget!J:J,"&gt;0")</f>
        <v>10400</v>
      </c>
    </row>
    <row r="30" ht="14.25" customHeight="1">
      <c r="A30" s="91" t="s">
        <v>5</v>
      </c>
      <c r="B30" s="92">
        <f>SUMIF(Budget!J:J,"&lt;0")</f>
        <v>0</v>
      </c>
    </row>
    <row r="31" ht="14.25" customHeight="1">
      <c r="A31" s="93" t="s">
        <v>6</v>
      </c>
      <c r="B31" s="94">
        <f>-SUM(Client!D:D)</f>
        <v>-15908.92781</v>
      </c>
    </row>
    <row r="32" ht="14.25" hidden="1" customHeight="1">
      <c r="A32" s="95" t="s">
        <v>217</v>
      </c>
      <c r="B32" s="96">
        <f t="array" ref="B32">(DateTime!$B$2-INDEX(Evolution!A:A, ROWS(Evolution!A:A)))/365.25</f>
        <v>4.046543463</v>
      </c>
    </row>
    <row r="33" ht="14.25" customHeight="1">
      <c r="A33" s="97" t="s">
        <v>217</v>
      </c>
      <c r="B33" s="98" t="str">
        <f>ROUNDUP(B32*12) &amp; " months (" &amp; ROUNDUP(B32,1) &amp;  " years)"</f>
        <v>49 months (4.1 years)</v>
      </c>
    </row>
    <row r="34" ht="14.25" customHeight="1">
      <c r="A34" s="99" t="s">
        <v>27</v>
      </c>
      <c r="B34" s="100">
        <f t="array" ref="B34">INDEX(Investment!O:O,ROWS(Investment!O:O))+INDEX(Investment!AM:AM,ROWS(Investment!AM:AM))</f>
        <v>676134.263</v>
      </c>
    </row>
    <row r="35" ht="14.25" customHeight="1">
      <c r="A35" s="99" t="s">
        <v>28</v>
      </c>
      <c r="B35" s="100">
        <f>SUM(Historic!G:G)</f>
        <v>-339084.22</v>
      </c>
    </row>
    <row r="36" ht="14.25" customHeight="1">
      <c r="A36" s="99" t="s">
        <v>29</v>
      </c>
      <c r="B36" s="100">
        <f>B34+B35</f>
        <v>337050.043</v>
      </c>
    </row>
    <row r="37" ht="14.25" customHeight="1">
      <c r="A37" s="99" t="s">
        <v>31</v>
      </c>
      <c r="B37" s="101">
        <f>$B$36+$B43-SUMIFS(Historic!G:G,Historic!A:A,"&gt;" &amp; DATE(2017,4,20),Historic!B:B,"")</f>
        <v>126893.513</v>
      </c>
    </row>
    <row r="38" ht="14.25" customHeight="1">
      <c r="A38" s="99" t="s">
        <v>33</v>
      </c>
      <c r="B38" s="102">
        <f>B37/B$7/B$32</f>
        <v>0.2320916812</v>
      </c>
    </row>
    <row r="39" ht="14.25" customHeight="1">
      <c r="A39" s="99" t="s">
        <v>218</v>
      </c>
      <c r="B39" s="100">
        <f>B37-B41-B43</f>
        <v>114998.873</v>
      </c>
    </row>
    <row r="40" ht="14.25" customHeight="1">
      <c r="A40" s="99" t="s">
        <v>219</v>
      </c>
      <c r="B40" s="102">
        <f>B39/B$7/B$32</f>
        <v>0.2103360617</v>
      </c>
    </row>
    <row r="41" ht="14.25" customHeight="1">
      <c r="A41" s="99" t="s">
        <v>220</v>
      </c>
      <c r="B41" s="100">
        <f>SUMIFS(Historic!G:G,Historic!D:D,"=DIVIDEND",Historic!B:B,"&lt;&gt;",Historic!H:H,"&lt;&gt;XXXXXX")</f>
        <v>21944.16</v>
      </c>
    </row>
    <row r="42" ht="14.25" customHeight="1">
      <c r="A42" s="103" t="s">
        <v>221</v>
      </c>
      <c r="B42" s="102">
        <f>B41/B$7/B$32</f>
        <v>0.04013646456</v>
      </c>
    </row>
    <row r="43" ht="14.25" customHeight="1">
      <c r="A43" s="103" t="s">
        <v>222</v>
      </c>
      <c r="B43" s="100">
        <f t="array" ref="B43">INDEX(Investment!AF:AF,ROWS(Investment!AF:AF))</f>
        <v>-10049.52</v>
      </c>
    </row>
    <row r="44" ht="14.25" customHeight="1">
      <c r="A44" s="103" t="s">
        <v>223</v>
      </c>
      <c r="B44" s="102">
        <f>B43/B$7/B$32</f>
        <v>-0.01838084499</v>
      </c>
    </row>
    <row r="45" ht="14.25" customHeight="1">
      <c r="A45" s="104" t="s">
        <v>19</v>
      </c>
      <c r="B45" s="105">
        <f>SUMIF(Historic!D:D,"=APPROVISIONNEMENT",Historic!G:G)</f>
        <v>222300</v>
      </c>
    </row>
    <row r="46" ht="14.25" customHeight="1">
      <c r="A46" s="106" t="s">
        <v>22</v>
      </c>
      <c r="B46" s="107">
        <f>B36-B37</f>
        <v>210156.53</v>
      </c>
    </row>
    <row r="47" ht="14.25" customHeight="1">
      <c r="A47" s="106" t="s">
        <v>21</v>
      </c>
      <c r="B47" s="107">
        <f t="array" ref="B47">$B$46-$B$45+$B$37-INDEX(Investment!$AD:$AD,ROWS(Investment!$AD:$AD))</f>
        <v>-3472.71</v>
      </c>
    </row>
    <row r="48" ht="14.25" customHeight="1">
      <c r="A48" s="106" t="s">
        <v>35</v>
      </c>
      <c r="B48" s="107">
        <f>Allocation!B12</f>
        <v>355000</v>
      </c>
    </row>
    <row r="49" ht="14.25" customHeight="1">
      <c r="A49" s="106" t="s">
        <v>38</v>
      </c>
      <c r="B49" s="108">
        <f>$B$48/($B$48+$B$36)</f>
        <v>0.5129686843</v>
      </c>
    </row>
    <row r="50" ht="14.25" customHeight="1">
      <c r="A50" s="106" t="s">
        <v>36</v>
      </c>
      <c r="B50" s="107">
        <f>Allocation!B11</f>
        <v>134209.7641</v>
      </c>
    </row>
    <row r="51" ht="14.25" customHeight="1">
      <c r="A51" s="106" t="s">
        <v>37</v>
      </c>
      <c r="B51" s="107">
        <f>IF(Allocation!B14,Allocation!B14,Allocation!B13)</f>
        <v>340000</v>
      </c>
    </row>
    <row r="52" ht="14.25" customHeight="1">
      <c r="A52" s="111" t="s">
        <v>225</v>
      </c>
      <c r="B52" s="114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0.0247367317</v>
      </c>
    </row>
    <row r="53" ht="14.25" customHeight="1">
      <c r="A53" s="125" t="s">
        <v>234</v>
      </c>
      <c r="B53" s="126">
        <v>0.0075</v>
      </c>
    </row>
    <row r="54" ht="14.25" customHeight="1">
      <c r="A54" s="125" t="s">
        <v>255</v>
      </c>
      <c r="B54" s="126">
        <v>-0.00454</v>
      </c>
    </row>
    <row r="55" ht="14.25" customHeight="1">
      <c r="A55" s="125" t="s">
        <v>39</v>
      </c>
      <c r="B55" s="126">
        <f>MAX(B54,0)+1.25/100</f>
        <v>0.0125</v>
      </c>
    </row>
    <row r="56" ht="14.25" customHeight="1">
      <c r="A56" s="125" t="s">
        <v>14</v>
      </c>
      <c r="B56" s="129">
        <f>ROUNDUP(MIN(Interest!J:J),2)</f>
        <v>-382.12</v>
      </c>
    </row>
    <row r="57" ht="14.25" customHeight="1">
      <c r="A57" s="131" t="s">
        <v>262</v>
      </c>
      <c r="B57" s="135">
        <f t="array" ref="B57">INDEX(Investment!$P:$P,ROWS(Investment!$P:$P))-INDEX(Investment!$O:$O,ROWS(Investment!$O:$O))</f>
        <v>515203.3641</v>
      </c>
    </row>
    <row r="58" ht="14.25" customHeight="1">
      <c r="A58" s="136" t="s">
        <v>49</v>
      </c>
      <c r="B58" s="139">
        <f t="array" ref="B58">INDEX(Investment!X:X,ROWS(Investment!X:X))</f>
        <v>2126.027</v>
      </c>
    </row>
    <row r="59" ht="14.25" customHeight="1">
      <c r="A59" s="83" t="s">
        <v>267</v>
      </c>
      <c r="B59" s="139">
        <f>AVERAGEIFS(Evolution!$G:$G,Evolution!$G:$G,"&lt;&gt;0",Evolution!$A:$A,"&gt;=" &amp; DATE(DateTime!$B$4-1,DateTime!$B$5,DateTime!$B$6))</f>
        <v>272.3939738</v>
      </c>
    </row>
    <row r="60" ht="14.25" customHeight="1">
      <c r="A60" s="136" t="s">
        <v>42</v>
      </c>
      <c r="B60" s="145">
        <f>(COUNTIFS(Historic!$J:$J,"&lt;&gt;",Historic!$D:$D,"&lt;&gt;COST")-1)/(DateTime!$B$2-MINIFS(Historic!$A:$A,Historic!$J:$J,"&lt;&gt;'"))*365.25/12</f>
        <v>13.73571636</v>
      </c>
    </row>
    <row r="61" ht="14.25" customHeight="1">
      <c r="A61" s="136" t="s">
        <v>41</v>
      </c>
      <c r="B61" s="88">
        <f>AVERAGE(Historic!$J:$J)</f>
        <v>184.1122828</v>
      </c>
    </row>
    <row r="62" ht="14.25" customHeight="1">
      <c r="A62" s="136" t="s">
        <v>43</v>
      </c>
      <c r="B62" s="147">
        <f>B60*B61</f>
        <v>2528.914094</v>
      </c>
    </row>
    <row r="63" ht="14.25" customHeight="1">
      <c r="A63" s="136" t="s">
        <v>45</v>
      </c>
      <c r="B63" s="147">
        <f>B62+B21</f>
        <v>3119.913114</v>
      </c>
    </row>
    <row r="64" ht="14.25" customHeight="1">
      <c r="A64" s="136" t="s">
        <v>270</v>
      </c>
      <c r="B64" s="88">
        <f>SUM(Historic!$I:$I)/(COUNT(Evolution!A:A)-1)</f>
        <v>122.3586902</v>
      </c>
    </row>
    <row r="65" ht="14.25" customHeight="1">
      <c r="A65" s="136" t="s">
        <v>271</v>
      </c>
      <c r="B65" s="88">
        <f>AVERAGE(Historic!$I:$I)</f>
        <v>284.2233251</v>
      </c>
    </row>
    <row r="66" ht="14.25" customHeight="1">
      <c r="A66" s="136" t="s">
        <v>272</v>
      </c>
      <c r="B66" s="147">
        <f>B65*B60</f>
        <v>3904.010976</v>
      </c>
    </row>
    <row r="67" ht="14.25" customHeight="1">
      <c r="A67" s="136" t="s">
        <v>273</v>
      </c>
      <c r="B67" s="151">
        <f t="array" ref="B67">INDEX(Investment!AL:AL,ROWS(Investment!AL:AL))</f>
        <v>0.01386785511</v>
      </c>
    </row>
    <row r="68" ht="14.25" customHeight="1">
      <c r="A68" s="136" t="s">
        <v>274</v>
      </c>
      <c r="B68" s="153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103d (3.4m)</v>
      </c>
    </row>
    <row r="69" ht="14.25" customHeight="1">
      <c r="A69" s="136" t="s">
        <v>275</v>
      </c>
      <c r="B69" s="155">
        <f t="array" ref="B69">INDEX(Investment!AQ:AQ,ROWS(Investment!AQ:AQ))</f>
        <v>0.0005661342584</v>
      </c>
    </row>
    <row r="70" ht="14.25" customHeight="1">
      <c r="A70" s="136" t="s">
        <v>276</v>
      </c>
      <c r="B70" s="156" t="s">
        <v>277</v>
      </c>
    </row>
  </sheetData>
  <conditionalFormatting sqref="A1:B70">
    <cfRule type="expression" dxfId="0" priority="1">
      <formula>IFERROR(MATCH($A1,SPLIT(TEXTJOIN(";",TRUE,INDIRECT("Settings!$B$1:$F$6")),";"),0),-1)&gt;0</formula>
    </cfRule>
  </conditionalFormatting>
  <conditionalFormatting sqref="B53:B54">
    <cfRule type="expression" dxfId="1" priority="2">
      <formula>ISFORMULA($B53)</formula>
    </cfRule>
  </conditionalFormatting>
  <hyperlinks>
    <hyperlink r:id="rId2" ref="B70"/>
  </hyperlink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1.14"/>
    <col customWidth="1" hidden="1" min="2" max="2" width="10.71"/>
    <col customWidth="1" hidden="1" min="3" max="3" width="5.0"/>
    <col customWidth="1" hidden="1" min="4" max="4" width="43.0"/>
    <col customWidth="1" hidden="1" min="5" max="5" width="64.14"/>
    <col customWidth="1" hidden="1" min="6" max="6" width="14.71"/>
    <col customWidth="1" hidden="1" min="7" max="7" width="9.71"/>
    <col customWidth="1" hidden="1" min="8" max="8" width="30.43"/>
    <col customWidth="1" hidden="1" min="9" max="9" width="10.57"/>
    <col customWidth="1" hidden="1" min="10" max="10" width="7.86"/>
    <col customWidth="1" min="11" max="11" width="10.14"/>
    <col customWidth="1" hidden="1" min="12" max="12" width="9.43"/>
    <col customWidth="1" min="13" max="13" width="9.43"/>
    <col customWidth="1" hidden="1" min="14" max="14" width="12.0"/>
    <col customWidth="1" min="15" max="15" width="12.0"/>
    <col customWidth="1" min="16" max="16" width="13.43"/>
    <col customWidth="1" hidden="1" min="17" max="17" width="12.43"/>
    <col customWidth="1" hidden="1" min="18" max="18" width="5.43"/>
    <col customWidth="1" min="19" max="19" width="12.0"/>
    <col customWidth="1" min="20" max="20" width="12.57"/>
    <col customWidth="1" hidden="1" min="21" max="21" width="11.0"/>
    <col customWidth="1" hidden="1" min="22" max="22" width="9.71"/>
    <col customWidth="1" min="23" max="23" width="14.0"/>
    <col customWidth="1" min="24" max="24" width="11.14"/>
    <col customWidth="1" min="25" max="25" width="7.0"/>
    <col customWidth="1" hidden="1" min="26" max="26" width="11.0"/>
    <col customWidth="1" hidden="1" min="27" max="27" width="6.43"/>
    <col customWidth="1" hidden="1" min="28" max="28" width="11.57"/>
    <col customWidth="1" hidden="1" min="29" max="29" width="7.0"/>
    <col customWidth="1" min="30" max="30" width="12.0"/>
    <col customWidth="1" min="31" max="31" width="9.14"/>
    <col customWidth="1" min="32" max="32" width="11.57"/>
    <col customWidth="1" min="33" max="33" width="11.43"/>
    <col customWidth="1" min="34" max="34" width="8.43"/>
    <col customWidth="1" min="35" max="35" width="9.57"/>
    <col customWidth="1" min="36" max="36" width="8.43"/>
    <col customWidth="1" min="37" max="37" width="12.29"/>
    <col customWidth="1" min="38" max="38" width="12.0"/>
    <col customWidth="1" hidden="1" min="39" max="39" width="9.86"/>
    <col customWidth="1" hidden="1" min="40" max="41" width="13.29"/>
    <col customWidth="1" hidden="1" min="42" max="42" width="10.86"/>
    <col customWidth="1" hidden="1" min="43" max="43" width="17.14"/>
    <col customWidth="1" min="44" max="45" width="10.43"/>
    <col customWidth="1" min="46" max="46" width="11.86"/>
    <col customWidth="1" min="47" max="47" width="9.86"/>
    <col customWidth="1" min="48" max="48" width="11.29"/>
    <col customWidth="1" min="49" max="50" width="8.43"/>
    <col customWidth="1" min="51" max="51" width="12.0"/>
    <col customWidth="1" min="52" max="52" width="12.57"/>
    <col customWidth="1" min="53" max="53" width="11.57"/>
  </cols>
  <sheetData>
    <row r="1">
      <c r="A1" s="109" t="s">
        <v>60</v>
      </c>
      <c r="B1" s="110" t="s">
        <v>224</v>
      </c>
      <c r="C1" s="110" t="s">
        <v>226</v>
      </c>
      <c r="D1" s="110" t="s">
        <v>227</v>
      </c>
      <c r="E1" s="110" t="s">
        <v>228</v>
      </c>
      <c r="F1" s="110" t="s">
        <v>116</v>
      </c>
      <c r="G1" s="110" t="s">
        <v>229</v>
      </c>
      <c r="H1" s="110" t="s">
        <v>61</v>
      </c>
      <c r="I1" s="110" t="s">
        <v>230</v>
      </c>
      <c r="J1" s="110" t="s">
        <v>231</v>
      </c>
      <c r="K1" s="112" t="s">
        <v>232</v>
      </c>
      <c r="L1" s="113" t="str">
        <f>IFERROR(__xludf.DUMMYFUNCTION("SWITCH($J1,""Symbol"",,,,""FP"",IMPORTXML(""https://bloomberg.com/quote/""&amp;$G1&amp;"":""&amp;$J1,""//span[@class='priceText__1853e8a5']""),IMPORTXML(""https://www.investing.com/etfs/""&amp;$D1,""//span[@id='last_last']""))"),"")</f>
        <v/>
      </c>
      <c r="M1" s="113" t="s">
        <v>64</v>
      </c>
      <c r="N1" s="115" t="s">
        <v>233</v>
      </c>
      <c r="O1" s="115" t="s">
        <v>235</v>
      </c>
      <c r="P1" s="116" t="s">
        <v>236</v>
      </c>
      <c r="Q1" s="57" t="s">
        <v>237</v>
      </c>
      <c r="R1" s="57" t="s">
        <v>238</v>
      </c>
      <c r="S1" s="57" t="s">
        <v>239</v>
      </c>
      <c r="T1" s="57" t="s">
        <v>240</v>
      </c>
      <c r="U1" s="57" t="s">
        <v>241</v>
      </c>
      <c r="V1" s="117" t="s">
        <v>242</v>
      </c>
      <c r="W1" s="118" t="s">
        <v>242</v>
      </c>
      <c r="X1" s="119" t="s">
        <v>243</v>
      </c>
      <c r="Y1" s="120" t="s">
        <v>244</v>
      </c>
      <c r="Z1" s="121" t="s">
        <v>245</v>
      </c>
      <c r="AA1" s="121" t="s">
        <v>244</v>
      </c>
      <c r="AB1" s="121" t="s">
        <v>246</v>
      </c>
      <c r="AC1" s="120" t="s">
        <v>244</v>
      </c>
      <c r="AD1" s="122" t="s">
        <v>247</v>
      </c>
      <c r="AE1" s="123" t="s">
        <v>244</v>
      </c>
      <c r="AF1" s="124" t="s">
        <v>248</v>
      </c>
      <c r="AG1" s="110" t="s">
        <v>249</v>
      </c>
      <c r="AH1" s="110" t="s">
        <v>250</v>
      </c>
      <c r="AI1" s="110" t="s">
        <v>251</v>
      </c>
      <c r="AJ1" s="110" t="s">
        <v>252</v>
      </c>
      <c r="AK1" s="110" t="s">
        <v>253</v>
      </c>
      <c r="AL1" s="110" t="s">
        <v>254</v>
      </c>
      <c r="AM1" s="127" t="s">
        <v>256</v>
      </c>
      <c r="AN1" s="117" t="s">
        <v>240</v>
      </c>
      <c r="AO1" s="117" t="s">
        <v>257</v>
      </c>
      <c r="AP1" s="117" t="s">
        <v>258</v>
      </c>
      <c r="AQ1" s="117" t="s">
        <v>259</v>
      </c>
      <c r="AR1" s="128" t="s">
        <v>260</v>
      </c>
      <c r="AS1" s="130" t="s">
        <v>261</v>
      </c>
      <c r="AT1" s="132" t="s">
        <v>263</v>
      </c>
      <c r="AU1" s="113" t="s">
        <v>264</v>
      </c>
      <c r="AV1" s="133" t="s">
        <v>265</v>
      </c>
      <c r="AW1" s="134" t="s">
        <v>250</v>
      </c>
      <c r="AX1" s="134" t="s">
        <v>266</v>
      </c>
      <c r="AY1" s="137" t="s">
        <v>266</v>
      </c>
      <c r="AZ1" s="137" t="s">
        <v>266</v>
      </c>
      <c r="BA1" s="137" t="s">
        <v>266</v>
      </c>
    </row>
    <row r="2">
      <c r="A2" s="138" t="s">
        <v>134</v>
      </c>
      <c r="B2" s="140">
        <v>0.4</v>
      </c>
      <c r="C2" s="141"/>
      <c r="D2" s="142" t="s">
        <v>268</v>
      </c>
      <c r="E2" s="143" t="s">
        <v>269</v>
      </c>
      <c r="F2" s="144" t="s">
        <v>133</v>
      </c>
      <c r="G2" s="143" t="str">
        <f>IFERROR(__xludf.DUMMYFUNCTION("INDEX(SPLIT($E2,"" ""),1,1)"),"IS04")</f>
        <v>IS04</v>
      </c>
      <c r="H2" s="143" t="str">
        <f>IFERROR(__xludf.DUMMYFUNCTION("TRIM(INDEX(SPLIT(SPLIT($E2,$I2,FALSE),"" | "",FALSE),1,2))"),"iShares Treasury Bond 20+ UCITS")</f>
        <v>iShares Treasury Bond 20+ UCITS</v>
      </c>
      <c r="I2" s="143" t="str">
        <f>IFERROR(__xludf.DUMMYFUNCTION("INDEX(SPLIT(SPLIT($E2,""ETF "",FALSE),"" ""),1,COLUMNS(SPLIT(SPLIT($E2,""ETF "",FALSE),"" "")))"),"Xetra")</f>
        <v>Xetra</v>
      </c>
      <c r="J2" s="143" t="str">
        <f t="shared" ref="J2:J6" si="2">SWITCH($I2,"XETRA","GR","Amsterdam","NA","Paris","FP")</f>
        <v>GR</v>
      </c>
      <c r="K2" s="146">
        <f>SUMIFS(Historic!E:E,Historic!D:D,"&lt;&gt;DIVIDEND",Historic!C:C,"=" &amp; H2)</f>
        <v>53253</v>
      </c>
      <c r="L2" s="148">
        <f>IFERROR(__xludf.DUMMYFUNCTION("SWITCH($J2,""Symbol"",,,,""FP"",IMPORTXML(""https://bloomberg.com/quote/""&amp;$G2&amp;"":""&amp;$J2,""//span[@class='priceText__1853e8a5']""),IMPORTXML(""https://www.investing.com/etfs/""&amp;$D2,""//span[@id='last_last']""))"),4.616)</f>
        <v>4.616</v>
      </c>
      <c r="M2" s="148">
        <v>4.616</v>
      </c>
      <c r="N2" s="18">
        <f>IF($K2,-SUMIFS(Historic!G:G,Historic!D:D,"&lt;&gt;DIVIDEND",Historic!C:C,"=" &amp; H2)-$AM2,0)</f>
        <v>210039.05</v>
      </c>
      <c r="O2" s="149">
        <f t="shared" ref="O2:O6" si="3">M2*K2</f>
        <v>245815.848</v>
      </c>
      <c r="P2" s="150">
        <f t="shared" ref="P2:P6" si="4">$P$7*$B2*(1-$AJ2)</f>
        <v>445713.0851</v>
      </c>
      <c r="Q2" s="18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52">
        <f t="shared" ref="R2:R6" si="5">RANK($AH2,$AH$2:$AH$6)-1</f>
        <v>4</v>
      </c>
      <c r="S2" s="154">
        <f t="shared" ref="S2:S6" si="6">ROUNDUP(-T2/$M2)</f>
        <v>0</v>
      </c>
      <c r="T2" s="157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$61),ROUNDUP(1000/$M2)*$M2*SIGN($M2-$AI2),-ROUNDDOWN(((-$V2-$AH2)*$P2+$U2)/$M2)*$M2),IF($N2=0,-$O$7/SUMIFS($B$2:$B$5,$K$2:$K$5,"&gt;0")*$B2,0)))</f>
        <v>0</v>
      </c>
      <c r="U2" s="158">
        <f t="shared" ref="U2:U6" si="7">ROUNDDOWN((INDEX($U:$U,ROWS($U:$U))-SUMIFS(U:U,R:R,"&lt;"&amp;R2))/$M2)*$M2</f>
        <v>4.616</v>
      </c>
      <c r="V2" s="159">
        <f t="array" ref="V2">INDEX(Price!$G:$K,2,ROW()-1)</f>
        <v>-0.0003054749497</v>
      </c>
      <c r="W2" s="159" t="str">
        <f t="array" ref="W2">IF(AND($AG2&gt;MAX($B2*AVERAGE(Historic!$J:$J),0),ABS($T2)&gt;IF($Q2=0,0,1000),OR(AND($T2&lt;0,$M2&lt;$AI2),AND($T2&gt;0,$M2&gt;$AI2),$N2=0),OR($T2*$V2&gt;0,($P$7-$O$7)*$AJ2&lt;0)),IF(OR(AND($T2&lt;0,N2&lt;&gt;0),$V2&lt;AVERAGEIFS(INDEX(Price!$G:$K,0,ROW()-1),INDEX(Price!$G:$K,0,ROW()-1),"&lt;0",INDEX(Price!$G:$K,0,ROW()-1),"&gt;-0.03")*2),"BUY",IF(OR(AND($T2&gt;0,N2&lt;&gt;0),$V2&gt;AVERAGEIFS(INDEX(Price!$G:$K,0,ROW()-1),INDEX(Price!$G:$K,0,ROW()-1),"&gt;0",INDEX(Price!$G:$K,0,ROW()-1),"&lt;0.03")*2),"SELL","HOLD")),"HOLD") &amp; " (" &amp; ROUND($V2*100,2) &amp; "%)"</f>
        <v>HOLD (-0.03%)</v>
      </c>
      <c r="X2" s="150">
        <f t="array" ref="X2">($M2-INDEX(Price!$B:$F,MIN(3,COLUMNS(Price!$B:$F)),ROW()-1))*$K2</f>
        <v>1011.807</v>
      </c>
      <c r="Y2" s="160">
        <f t="shared" ref="Y2:Y6" si="8">IF(OR(X2=0,$N2=0),0,X2/$N2)</f>
        <v>0.004817232796</v>
      </c>
      <c r="Z2" s="31">
        <f>SUMIFS(Historic!G:G,Historic!D:D,"=DIVIDEND",Historic!C:C,"=" &amp; H2,Historic!H:H,"&lt;&gt;XXXXXX")</f>
        <v>3574.47</v>
      </c>
      <c r="AA2" s="159">
        <f t="shared" ref="AA2:AA6" si="9">IF(OR(Z2=0,$N2=0),0,Z2/$N2)</f>
        <v>0.01701812115</v>
      </c>
      <c r="AB2" s="31">
        <f t="shared" ref="AB2:AB6" si="10">O2-N2</f>
        <v>35776.798</v>
      </c>
      <c r="AC2" s="160">
        <f t="shared" ref="AC2:AC6" si="11">IF(OR(AB2=0,$N2=0),0,AB2/$N2)</f>
        <v>0.1703340307</v>
      </c>
      <c r="AD2" s="161">
        <f t="shared" ref="AD2:AE2" si="1">Z2+AB2</f>
        <v>39351.268</v>
      </c>
      <c r="AE2" s="162">
        <f t="shared" si="1"/>
        <v>0.1873521519</v>
      </c>
      <c r="AF2" s="163">
        <f>IF(AND($T2,OR($C2="",AND($Q2&lt;&gt;0,$T2&lt;&gt;0,OR(ABS($T2)&lt;=1000,SIGN($T2)&lt;&gt;SIGN($Q2))))),2+0.02/100*ABS($T2),0)+MIN(Dashboard!$B$48+Dashboard!$B$35+$T2,0)*4/100/360*(EOMONTH(DateTime!$B$2,0)-DateTime!$B$2)*SIGN($T2)</f>
        <v>0</v>
      </c>
      <c r="AG2" s="149">
        <f t="shared" ref="AG2:AG6" si="13">$S2*$AI2+$T2-$AF2</f>
        <v>0</v>
      </c>
      <c r="AH2" s="164">
        <f t="shared" ref="AH2:AH6" si="14">IF(ABS($P2/$O2-1)&gt;$B2,$AW2,1-$P2/$O2)</f>
        <v>-0.04057222878</v>
      </c>
      <c r="AI2" s="175">
        <f t="array" ref="AI2">AVERAGEIFS(OFFSET(INDEX(Price!$B:$F,0,ROW()-1),0,0,ROWS(Price!$B:$F),1),Price!$A:$A,"&gt;" &amp; DATE(DateTime!$B$4-1,DateTime!$B$5,DateTime!$B$6))</f>
        <v>4.317440196</v>
      </c>
      <c r="AJ2" s="159">
        <f t="shared" ref="AJ2:AJ6" si="15">1-$AI2/$M2</f>
        <v>0.06467933361</v>
      </c>
      <c r="AK2" s="175">
        <f t="array" ref="AK2">AVERAGEIFS(OFFSET(INDEX(Price!$B:$F,0,ROW()-1),0,0,ROWS(Price!$B:$F),1),Price!$A:$A,"&lt;=" &amp; DATE(DateTime!$B$4,IF(DateTime!$B$5&gt;0,DateTime!$B$5-1,1),DateTime!$B$6))</f>
        <v>4.236332353</v>
      </c>
      <c r="AL2" s="159">
        <f t="shared" ref="AL2:AL6" si="16">1-$AK2/$AI2</f>
        <v>0.01878609534</v>
      </c>
      <c r="AM2" s="178">
        <v>-0.02</v>
      </c>
      <c r="AN2" s="149">
        <f t="shared" ref="AN2:AN6" si="17">ROUNDDOWN(($P2-$O2)/$M2)*$M2</f>
        <v>199895.88</v>
      </c>
      <c r="AO2" s="149">
        <f t="shared" ref="AO2:AO6" si="18">$AI2*$K2</f>
        <v>229916.6428</v>
      </c>
      <c r="AP2" s="175">
        <f t="shared" ref="AP2:AP6" si="19">IF($K2&lt;&gt;0,$N2/$K2,)</f>
        <v>3.944173098</v>
      </c>
      <c r="AQ2" s="179">
        <v>43781.50048693287</v>
      </c>
      <c r="AR2" s="180">
        <f>IF(MAXIFS(Historic!$A:$A,Historic!$C:$C,LEFT($H2,40)&amp;"*",Historic!$D:$D,"DIVIDEND",Historic!$G:$G,"&gt;0")&lt;&gt;0,MAXIFS(Historic!$A:$A,Historic!$C:$C,LEFT($H2,40)&amp;"*",Historic!$D:$D,"DIVIDEND",Historic!$G:$G,"&gt;0"),)</f>
        <v>43642</v>
      </c>
      <c r="AS2" s="165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IF(MAXIFS(Historic!$A:$A,Historic!$C:$C,LEFT($H2,40)&amp;"*",Historic!$D:$D,"DIVIDEND",Historic!$A:$A,"&lt;"&amp;AR2)&lt;&gt;0,EDATE(AR2,ROUND((AR2-MAXIFS(Historic!$A:$A,Historic!$C:$C,LEFT($H2,40)&amp;"*",Historic!$D:$D,"DIVIDEND",Historic!$A:$A,"&lt;"&amp;AR2))/365.25*12)),)</f>
        <v>43825</v>
      </c>
      <c r="AT2" s="181" t="str">
        <f>IF($AS2,$AS2-DateTime!$B$2&amp;"d ("&amp;ROUND(($AS2-DateTime!$B$2)/30,1) &amp; "m)",)</f>
        <v>44d (1.5m)</v>
      </c>
      <c r="AU2" s="157">
        <f>IF($AR2,SUMIFS(Historic!$G:$G,Historic!$C:$C,LEFT($H2,40)&amp;"*",Historic!$D:$D,"DIVIDEND",Historic!$A:$A,"&gt;="&amp;$AR2)/SUMIFS(Historic!$E:$E,Historic!$C:$C,LEFT($H2,40)&amp;"*",Historic!$A:$A,"&lt;="&amp;$AR2)*$K2,)</f>
        <v>3021.784181</v>
      </c>
      <c r="AV2" s="182">
        <f t="shared" ref="AV2:AV6" si="20">ROUND(IF($AS2,12/DATEDIF($AR2,$AS2,"M"),1))*$AU2/12</f>
        <v>503.6306968</v>
      </c>
      <c r="AW2" s="183">
        <f t="shared" ref="AW2:AW6" si="21">IF($P$7,$O2/$O$7/SUMIFS($B$2:$B$6,$K$2:$K$6,"&gt;0")-$B2*$P2/($O2+$P2)*($O$7+$P$7)/$P$7,0)</f>
        <v>-0.04057222878</v>
      </c>
      <c r="AX2" s="184">
        <f t="shared" ref="AX2:AX6" si="22">MAX($O2/$P2,$P2/($O2+$P2)*($O$7+$P$7)/$P$7)</f>
        <v>1.010332316</v>
      </c>
      <c r="AY2" s="185">
        <f t="shared" ref="AY2:AY6" si="23">-ROUNDDOWN(($P2-$O2+$U2)/$M2)*$M2</f>
        <v>-199900.496</v>
      </c>
      <c r="AZ2" s="186">
        <f t="shared" ref="AZ2:AZ6" si="24">($V2+$AH2*$AJ2*100)*$N2</f>
        <v>-55182.28824</v>
      </c>
      <c r="BA2" s="186">
        <f t="shared" ref="BA2:BA6" si="25">($V2+$AH2)*$P2</f>
        <v>-18219.72744</v>
      </c>
    </row>
    <row r="3">
      <c r="A3" s="138" t="s">
        <v>138</v>
      </c>
      <c r="B3" s="140">
        <v>0.3</v>
      </c>
      <c r="C3" s="187" t="s">
        <v>288</v>
      </c>
      <c r="D3" s="142" t="s">
        <v>289</v>
      </c>
      <c r="E3" s="143" t="s">
        <v>290</v>
      </c>
      <c r="F3" s="144" t="s">
        <v>69</v>
      </c>
      <c r="G3" s="143" t="str">
        <f>IFERROR(__xludf.DUMMYFUNCTION("INDEX(SPLIT($E3,"" ""),1,1)"),"VUSA")</f>
        <v>VUSA</v>
      </c>
      <c r="H3" s="143" t="str">
        <f>IFERROR(__xludf.DUMMYFUNCTION("TRIM(INDEX(SPLIT(SPLIT($E3,$I3,FALSE),"" | "",FALSE),1,2))"),"Vanguard S&amp;P 500 UCITS")</f>
        <v>Vanguard S&amp;P 500 UCITS</v>
      </c>
      <c r="I3" s="143" t="str">
        <f>IFERROR(__xludf.DUMMYFUNCTION("INDEX(SPLIT(SPLIT($E3,""ETF "",FALSE),"" ""),1,COLUMNS(SPLIT(SPLIT($E3,""ETF "",FALSE),"" "")))"),"Amsterdam")</f>
        <v>Amsterdam</v>
      </c>
      <c r="J3" s="143" t="str">
        <f t="shared" si="2"/>
        <v>NA</v>
      </c>
      <c r="K3" s="146">
        <f>SUMIFS(Historic!E:E,Historic!D:D,"&lt;&gt;DIVIDEND",Historic!C:C,"=" &amp; H3)</f>
        <v>3715</v>
      </c>
      <c r="L3">
        <f>IFERROR(__xludf.DUMMYFUNCTION("SWITCH($J3,""Symbol"",,,,""FP"",IMPORTXML(""https://bloomberg.com/quote/""&amp;$G3&amp;"":""&amp;$J3,""//span[@class='priceText__1853e8a5']""),IMPORTXML(""https://www.investing.com/etfs/""&amp;$D3,""//span[@id='last_last']""))"),53.29)</f>
        <v>53.29</v>
      </c>
      <c r="M3" s="148">
        <v>53.285</v>
      </c>
      <c r="N3" s="18">
        <f>IF($K3,-SUMIFS(Historic!G:G,Historic!D:D,"&lt;&gt;DIVIDEND",Historic!C:C,"=" &amp; H3)-$AM3,0)</f>
        <v>157409.25</v>
      </c>
      <c r="O3" s="149">
        <f t="shared" si="3"/>
        <v>197953.775</v>
      </c>
      <c r="P3" s="150">
        <f t="shared" si="4"/>
        <v>322877.0999</v>
      </c>
      <c r="Q3" s="18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1254.72</v>
      </c>
      <c r="R3" s="152">
        <f t="shared" si="5"/>
        <v>1</v>
      </c>
      <c r="S3" s="154">
        <f t="shared" si="6"/>
        <v>-8</v>
      </c>
      <c r="T3" s="157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$61),ROUNDUP(1000/$M3)*$M3*SIGN($M3-$AI3),-ROUNDDOWN(((-$V3-$AH3)*$P3+$U3)/$M3)*$M3),IF($N3=0,-$O$7/SUMIFS($B$2:$B$5,$K$2:$K$5,"&gt;0")*$B3,0)))</f>
        <v>426.28</v>
      </c>
      <c r="U3" s="158">
        <f t="shared" si="7"/>
        <v>106.57</v>
      </c>
      <c r="V3" s="159">
        <f t="array" ref="V3">INDEX(Price!$G:$K,2,ROW()-1)</f>
        <v>0.0004212841848</v>
      </c>
      <c r="W3" s="159" t="str">
        <f t="array" ref="W3">IF(AND($AG3&gt;MAX($B3*AVERAGE(Historic!$J:$J),0),ABS($T3)&gt;IF($Q3=0,0,1000),OR(AND($T3&lt;0,$M3&lt;$AI3),AND($T3&gt;0,$M3&gt;$AI3),$N3=0),OR($T3*$V3&gt;0,($P$7-$O$7)*$AJ3&lt;0)),IF(OR(AND($T3&lt;0,N3&lt;&gt;0),$V3&lt;AVERAGEIFS(INDEX(Price!$G:$K,0,ROW()-1),INDEX(Price!$G:$K,0,ROW()-1),"&lt;0",INDEX(Price!$G:$K,0,ROW()-1),"&gt;-0.03")*2),"BUY",IF(OR(AND($T3&gt;0,N3&lt;&gt;0),$V3&gt;AVERAGEIFS(INDEX(Price!$G:$K,0,ROW()-1),INDEX(Price!$G:$K,0,ROW()-1),"&gt;0",INDEX(Price!$G:$K,0,ROW()-1),"&lt;0.03")*2),"SELL","HOLD")),"HOLD") &amp; " (" &amp; ROUND($V3*100,2) &amp; "%)"</f>
        <v>HOLD (0.04%)</v>
      </c>
      <c r="X3" s="150">
        <f t="array" ref="X3">($M3-INDEX(Price!$B:$F,MIN(3,COLUMNS(Price!$B:$F)),ROW()-1))*$K3</f>
        <v>899.03</v>
      </c>
      <c r="Y3" s="160">
        <f t="shared" si="8"/>
        <v>0.005711417849</v>
      </c>
      <c r="Z3" s="31">
        <f>SUMIFS(Historic!G:G,Historic!D:D,"=DIVIDEND",Historic!C:C,"=" &amp; H3,Historic!H:H,"&lt;&gt;XXXXXX")</f>
        <v>5686.59</v>
      </c>
      <c r="AA3" s="159">
        <f t="shared" si="9"/>
        <v>0.03612614888</v>
      </c>
      <c r="AB3" s="31">
        <f t="shared" si="10"/>
        <v>40544.525</v>
      </c>
      <c r="AC3" s="160">
        <f t="shared" si="11"/>
        <v>0.2575739672</v>
      </c>
      <c r="AD3" s="161">
        <f t="shared" ref="AD3:AE3" si="12">Z3+AB3</f>
        <v>46231.115</v>
      </c>
      <c r="AE3" s="162">
        <f t="shared" si="12"/>
        <v>0.2937001161</v>
      </c>
      <c r="AF3" s="163">
        <f>IF(AND($T3,OR($C3="",AND($Q3&lt;&gt;0,$T3&lt;&gt;0,OR(ABS($T3)&lt;=1000,SIGN($T3)&lt;&gt;SIGN($Q3))))),2+0.02/100*ABS($T3),0)+MIN(Dashboard!$B$48+Dashboard!$B$35+$T3,0)*4/100/360*(EOMONTH(DateTime!$B$2,0)-DateTime!$B$2)*SIGN($T3)</f>
        <v>2.085256</v>
      </c>
      <c r="AG3" s="149">
        <f t="shared" si="13"/>
        <v>39.09246949</v>
      </c>
      <c r="AH3" s="164">
        <f t="shared" si="14"/>
        <v>0.00124439201</v>
      </c>
      <c r="AI3" s="175">
        <f t="array" ref="AI3">AVERAGEIFS(OFFSET(INDEX(Price!$B:$F,0,ROW()-1),0,0,ROWS(Price!$B:$F),1),Price!$A:$A,"&gt;" &amp; DATE(DateTime!$B$4-1,DateTime!$B$5,DateTime!$B$6))</f>
        <v>48.13778431</v>
      </c>
      <c r="AJ3" s="159">
        <f t="shared" si="15"/>
        <v>0.09659783591</v>
      </c>
      <c r="AK3" s="175">
        <f t="array" ref="AK3">AVERAGEIFS(OFFSET(INDEX(Price!$B:$F,0,ROW()-1),0,0,ROWS(Price!$B:$F),1),Price!$A:$A,"&lt;=" &amp; DATE(DateTime!$B$4,IF(DateTime!$B$5&gt;0,DateTime!$B$5-1,1),DateTime!$B$6))</f>
        <v>47.58278431</v>
      </c>
      <c r="AL3" s="159">
        <f t="shared" si="16"/>
        <v>0.01152940477</v>
      </c>
      <c r="AM3" s="178">
        <v>0.0</v>
      </c>
      <c r="AN3" s="149">
        <f t="shared" si="17"/>
        <v>124900.04</v>
      </c>
      <c r="AO3" s="149">
        <f t="shared" si="18"/>
        <v>178831.8687</v>
      </c>
      <c r="AP3" s="175">
        <f t="shared" si="19"/>
        <v>42.37126514</v>
      </c>
      <c r="AQ3" s="179">
        <v>43781.50048693287</v>
      </c>
      <c r="AR3" s="180">
        <f>IF(MAXIFS(Historic!$A:$A,Historic!$C:$C,LEFT($H3,40)&amp;"*",Historic!$D:$D,"DIVIDEND",Historic!$G:$G,"&gt;0")&lt;&gt;0,MAXIFS(Historic!$A:$A,Historic!$C:$C,LEFT($H3,40)&amp;"*",Historic!$D:$D,"DIVIDEND",Historic!$G:$G,"&gt;0"),)</f>
        <v>43747</v>
      </c>
      <c r="AS3" s="165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IF(MAXIFS(Historic!$A:$A,Historic!$C:$C,LEFT($H3,40)&amp;"*",Historic!$D:$D,"DIVIDEND",Historic!$A:$A,"&lt;"&amp;AR3)&lt;&gt;0,EDATE(AR3,ROUND((AR3-MAXIFS(Historic!$A:$A,Historic!$C:$C,LEFT($H3,40)&amp;"*",Historic!$D:$D,"DIVIDEND",Historic!$A:$A,"&lt;"&amp;AR3))/365.25*12)),)</f>
        <v>43839</v>
      </c>
      <c r="AT3" s="181" t="str">
        <f>IF($AS3,$AS3-DateTime!$B$2&amp;"d ("&amp;ROUND(($AS3-DateTime!$B$2)/30,1) &amp; "m)",)</f>
        <v>58d (1.9m)</v>
      </c>
      <c r="AU3" s="157">
        <f>IF($AR3,SUMIFS(Historic!$G:$G,Historic!$C:$C,LEFT($H3,40)&amp;"*",Historic!$D:$D,"DIVIDEND",Historic!$A:$A,"&gt;="&amp;$AR3)/SUMIFS(Historic!$E:$E,Historic!$C:$C,LEFT($H3,40)&amp;"*",Historic!$A:$A,"&lt;="&amp;$AR3)*$K3,)</f>
        <v>772.9533046</v>
      </c>
      <c r="AV3" s="182">
        <f t="shared" si="20"/>
        <v>257.6511015</v>
      </c>
      <c r="AW3" s="183">
        <f t="shared" si="21"/>
        <v>0.00124439201</v>
      </c>
      <c r="AX3" s="184">
        <f t="shared" si="22"/>
        <v>0.97176161</v>
      </c>
      <c r="AY3" s="185">
        <f t="shared" si="23"/>
        <v>-125006.61</v>
      </c>
      <c r="AZ3" s="186">
        <f t="shared" si="24"/>
        <v>1958.460972</v>
      </c>
      <c r="BA3" s="186">
        <f t="shared" si="25"/>
        <v>537.8086992</v>
      </c>
    </row>
    <row r="4">
      <c r="A4" s="138" t="s">
        <v>127</v>
      </c>
      <c r="B4" s="140">
        <v>0.15</v>
      </c>
      <c r="C4" s="187" t="s">
        <v>288</v>
      </c>
      <c r="D4" s="142" t="s">
        <v>297</v>
      </c>
      <c r="E4" s="143" t="s">
        <v>298</v>
      </c>
      <c r="F4" s="144" t="s">
        <v>126</v>
      </c>
      <c r="G4" s="143" t="str">
        <f>IFERROR(__xludf.DUMMYFUNCTION("INDEX(SPLIT($E4,"" ""),1,1)"),"BTMA")</f>
        <v>BTMA</v>
      </c>
      <c r="H4" s="143" t="str">
        <f>IFERROR(__xludf.DUMMYFUNCTION("TRIM(INDEX(SPLIT(SPLIT($E4,$I4,FALSE),"" | "",FALSE),1,2))"),"iShares Treasury Bond 7-10 UCITS")</f>
        <v>iShares Treasury Bond 7-10 UCITS</v>
      </c>
      <c r="I4" s="143" t="str">
        <f>IFERROR(__xludf.DUMMYFUNCTION("INDEX(SPLIT(SPLIT($E4,""ETF "",FALSE),"" ""),1,COLUMNS(SPLIT(SPLIT($E4,""ETF "",FALSE),"" "")))"),"Amsterdam")</f>
        <v>Amsterdam</v>
      </c>
      <c r="J4" s="143" t="str">
        <f t="shared" si="2"/>
        <v>NA</v>
      </c>
      <c r="K4" s="146">
        <f>SUMIFS(Historic!E:E,Historic!D:D,"&lt;&gt;DIVIDEND",Historic!C:C,"=" &amp; H4)</f>
        <v>547</v>
      </c>
      <c r="L4" s="148">
        <f>IFERROR(__xludf.DUMMYFUNCTION("SWITCH($J4,""Symbol"",,,,""FP"",IMPORTXML(""https://bloomberg.com/quote/""&amp;$G4&amp;"":""&amp;$J4,""//span[@class='priceText__1853e8a5']""),IMPORTXML(""https://www.investing.com/etfs/""&amp;$D4,""//span[@id='last_last']""))"),185.27)</f>
        <v>185.27</v>
      </c>
      <c r="M4" s="148">
        <v>185.27</v>
      </c>
      <c r="N4" s="18">
        <f>IF($K4,-SUMIFS(Historic!G:G,Historic!D:D,"&lt;&gt;DIVIDEND",Historic!C:C,"=" &amp; H4)-$AM4,0)</f>
        <v>85036.11</v>
      </c>
      <c r="O4" s="149">
        <f t="shared" si="3"/>
        <v>101342.69</v>
      </c>
      <c r="P4" s="150">
        <f t="shared" si="4"/>
        <v>170523.3743</v>
      </c>
      <c r="Q4" s="18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52">
        <f t="shared" si="5"/>
        <v>0</v>
      </c>
      <c r="S4" s="154">
        <f t="shared" si="6"/>
        <v>-2</v>
      </c>
      <c r="T4" s="157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$61),ROUNDUP(1000/$M4)*$M4*SIGN($M4-$AI4),-ROUNDDOWN(((-$V4-$AH4)*$P4+$U4)/$M4)*$M4),IF($N4=0,-$O$7/SUMIFS($B$2:$B$5,$K$2:$K$5,"&gt;0")*$B4,0)))</f>
        <v>370.54</v>
      </c>
      <c r="U4" s="158">
        <f t="shared" si="7"/>
        <v>0</v>
      </c>
      <c r="V4" s="159">
        <f t="array" ref="V4">INDEX(Price!$G:$K,2,ROW()-1)</f>
        <v>0.0002652298162</v>
      </c>
      <c r="W4" s="159" t="str">
        <f t="array" ref="W4">IF(AND($AG4&gt;MAX($B4*AVERAGE(Historic!$J:$J),0),ABS($T4)&gt;IF($Q4=0,0,1000),OR(AND($T4&lt;0,$M4&lt;$AI4),AND($T4&gt;0,$M4&gt;$AI4),$N4=0),OR($T4*$V4&gt;0,($P$7-$O$7)*$AJ4&lt;0)),IF(OR(AND($T4&lt;0,N4&lt;&gt;0),$V4&lt;AVERAGEIFS(INDEX(Price!$G:$K,0,ROW()-1),INDEX(Price!$G:$K,0,ROW()-1),"&lt;0",INDEX(Price!$G:$K,0,ROW()-1),"&gt;-0.03")*2),"BUY",IF(OR(AND($T4&gt;0,N4&lt;&gt;0),$V4&gt;AVERAGEIFS(INDEX(Price!$G:$K,0,ROW()-1),INDEX(Price!$G:$K,0,ROW()-1),"&gt;0",INDEX(Price!$G:$K,0,ROW()-1),"&lt;0.03")*2),"SELL","HOLD")),"HOLD") &amp; " (" &amp; ROUND($V4*100,2) &amp; "%)"</f>
        <v>HOLD (0.03%)</v>
      </c>
      <c r="X4" s="150">
        <f t="array" ref="X4">($M4-INDEX(Price!$B:$F,MIN(3,COLUMNS(Price!$B:$F)),ROW()-1))*$K4</f>
        <v>92.99</v>
      </c>
      <c r="Y4" s="160">
        <f t="shared" si="8"/>
        <v>0.00109353544</v>
      </c>
      <c r="Z4" s="31">
        <f>SUMIFS(Historic!G:G,Historic!D:D,"=DIVIDEND",Historic!C:C,"=" &amp; H4,Historic!H:H,"&lt;&gt;XXXXXX")</f>
        <v>3264.35</v>
      </c>
      <c r="AA4" s="159">
        <f t="shared" si="9"/>
        <v>0.0383878096</v>
      </c>
      <c r="AB4" s="31">
        <f t="shared" si="10"/>
        <v>16306.58</v>
      </c>
      <c r="AC4" s="160">
        <f t="shared" si="11"/>
        <v>0.1917606532</v>
      </c>
      <c r="AD4" s="161">
        <f t="shared" ref="AD4:AE4" si="26">Z4+AB4</f>
        <v>19570.93</v>
      </c>
      <c r="AE4" s="162">
        <f t="shared" si="26"/>
        <v>0.2301484628</v>
      </c>
      <c r="AF4" s="163">
        <f>IF(AND($T4,OR($C4="",AND($Q4&lt;&gt;0,$T4&lt;&gt;0,OR(ABS($T4)&lt;=1000,SIGN($T4)&lt;&gt;SIGN($Q4))))),2+0.02/100*ABS($T4),0)+MIN(Dashboard!$B$48+Dashboard!$B$35+$T4,0)*4/100/360*(EOMONTH(DateTime!$B$2,0)-DateTime!$B$2)*SIGN($T4)</f>
        <v>0</v>
      </c>
      <c r="AG4" s="149">
        <f t="shared" si="13"/>
        <v>16.95576471</v>
      </c>
      <c r="AH4" s="164">
        <f t="shared" si="14"/>
        <v>0.002403323343</v>
      </c>
      <c r="AI4" s="175">
        <f t="array" ref="AI4">AVERAGEIFS(OFFSET(INDEX(Price!$B:$F,0,ROW()-1),0,0,ROWS(Price!$B:$F),1),Price!$A:$A,"&gt;" &amp; DATE(DateTime!$B$4-1,DateTime!$B$5,DateTime!$B$6))</f>
        <v>176.7921176</v>
      </c>
      <c r="AJ4" s="159">
        <f t="shared" si="15"/>
        <v>0.04575960681</v>
      </c>
      <c r="AK4" s="175">
        <f t="array" ref="AK4">AVERAGEIFS(OFFSET(INDEX(Price!$B:$F,0,ROW()-1),0,0,ROWS(Price!$B:$F),1),Price!$A:$A,"&lt;=" &amp; DATE(DateTime!$B$4,IF(DateTime!$B$5&gt;0,DateTime!$B$5-1,1),DateTime!$B$6))</f>
        <v>174.8147059</v>
      </c>
      <c r="AL4" s="159">
        <f t="shared" si="16"/>
        <v>0.01118495435</v>
      </c>
      <c r="AM4" s="178">
        <v>0.0</v>
      </c>
      <c r="AN4" s="149">
        <f t="shared" si="17"/>
        <v>69105.71</v>
      </c>
      <c r="AO4" s="149">
        <f t="shared" si="18"/>
        <v>96705.28835</v>
      </c>
      <c r="AP4" s="175">
        <f t="shared" si="19"/>
        <v>155.4590676</v>
      </c>
      <c r="AQ4" s="179">
        <v>43781.50048693287</v>
      </c>
      <c r="AR4" s="180">
        <f>IF(MAXIFS(Historic!$A:$A,Historic!$C:$C,LEFT($H4,40)&amp;"*",Historic!$D:$D,"DIVIDEND",Historic!$G:$G,"&gt;0")&lt;&gt;0,MAXIFS(Historic!$A:$A,Historic!$C:$C,LEFT($H4,40)&amp;"*",Historic!$D:$D,"DIVIDEND",Historic!$G:$G,"&gt;0"),)</f>
        <v>43616</v>
      </c>
      <c r="AS4" s="165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IF(MAXIFS(Historic!$A:$A,Historic!$C:$C,LEFT($H4,40)&amp;"*",Historic!$D:$D,"DIVIDEND",Historic!$A:$A,"&lt;"&amp;AR4)&lt;&gt;0,EDATE(AR4,ROUND((AR4-MAXIFS(Historic!$A:$A,Historic!$C:$C,LEFT($H4,40)&amp;"*",Historic!$D:$D,"DIVIDEND",Historic!$A:$A,"&lt;"&amp;AR4))/365.25*12)),)</f>
        <v>43799</v>
      </c>
      <c r="AT4" s="181" t="str">
        <f>IF($AS4,$AS4-DateTime!$B$2&amp;"d ("&amp;ROUND(($AS4-DateTime!$B$2)/30,1) &amp; "m)",)</f>
        <v>18d (0.6m)</v>
      </c>
      <c r="AU4" s="157">
        <f>IF($AR4,SUMIFS(Historic!$G:$G,Historic!$C:$C,LEFT($H4,40)&amp;"*",Historic!$D:$D,"DIVIDEND",Historic!$A:$A,"&gt;="&amp;$AR4)/SUMIFS(Historic!$E:$E,Historic!$C:$C,LEFT($H4,40)&amp;"*",Historic!$A:$A,"&lt;="&amp;$AR4)*$K4,)</f>
        <v>1271.023328</v>
      </c>
      <c r="AV4" s="182">
        <f t="shared" si="20"/>
        <v>211.8372213</v>
      </c>
      <c r="AW4" s="183">
        <f t="shared" si="21"/>
        <v>0.002403323343</v>
      </c>
      <c r="AX4" s="184">
        <f t="shared" si="22"/>
        <v>0.98321418</v>
      </c>
      <c r="AY4" s="185">
        <f t="shared" si="23"/>
        <v>-69105.71</v>
      </c>
      <c r="AZ4" s="186">
        <f t="shared" si="24"/>
        <v>957.7398473</v>
      </c>
      <c r="BA4" s="186">
        <f t="shared" si="25"/>
        <v>455.0506892</v>
      </c>
    </row>
    <row r="5">
      <c r="A5" s="138" t="s">
        <v>122</v>
      </c>
      <c r="B5" s="140">
        <v>0.075</v>
      </c>
      <c r="C5" s="187" t="s">
        <v>288</v>
      </c>
      <c r="D5" s="188" t="s">
        <v>309</v>
      </c>
      <c r="E5" s="143" t="s">
        <v>310</v>
      </c>
      <c r="F5" s="144" t="s">
        <v>121</v>
      </c>
      <c r="G5" s="143" t="str">
        <f>IFERROR(__xludf.DUMMYFUNCTION("INDEX(SPLIT($E5,"" ""),1,1)"),"PHAU")</f>
        <v>PHAU</v>
      </c>
      <c r="H5" s="143" t="str">
        <f>IFERROR(__xludf.DUMMYFUNCTION("TRIM(INDEX(SPLIT(SPLIT($E5,$I5,FALSE),"" | "",FALSE),1,2))"),"ETFS Physical Gold")</f>
        <v>ETFS Physical Gold</v>
      </c>
      <c r="I5" s="143" t="str">
        <f>IFERROR(__xludf.DUMMYFUNCTION("INDEX(SPLIT(SPLIT($E5,""ETF "",FALSE),"" ""),1,COLUMNS(SPLIT(SPLIT($E5,""ETF "",FALSE),"" "")))"),"Amsterdam")</f>
        <v>Amsterdam</v>
      </c>
      <c r="J5" s="143" t="str">
        <f t="shared" si="2"/>
        <v>NA</v>
      </c>
      <c r="K5" s="146">
        <f>SUMIFS(Historic!E:E,Historic!D:D,"&lt;&gt;DIVIDEND",Historic!C:C,"=" &amp; H5)</f>
        <v>353</v>
      </c>
      <c r="L5" s="148">
        <f>IFERROR(__xludf.DUMMYFUNCTION("SWITCH($J5,""Symbol"",,,,""FP"",IMPORTXML(""https://bloomberg.com/quote/""&amp;$G5&amp;"":""&amp;$J5,""//span[@class='priceText__1853e8a5']""),IMPORTXML(""https://www.investing.com/etfs/""&amp;$D5,""//span[@id='last_last']""))"),125.62)</f>
        <v>125.62</v>
      </c>
      <c r="M5" s="148">
        <v>125.62</v>
      </c>
      <c r="N5" s="18">
        <f>IF($K5,-SUMIFS(Historic!G:G,Historic!D:D,"&lt;&gt;DIVIDEND",Historic!C:C,"=" &amp; H5)-$AM5,0)</f>
        <v>33586.49</v>
      </c>
      <c r="O5" s="149">
        <f t="shared" si="3"/>
        <v>44343.86</v>
      </c>
      <c r="P5" s="150">
        <f t="shared" si="4"/>
        <v>82441.1402</v>
      </c>
      <c r="Q5" s="18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52">
        <f t="shared" si="5"/>
        <v>2</v>
      </c>
      <c r="S5" s="154">
        <f t="shared" si="6"/>
        <v>0</v>
      </c>
      <c r="T5" s="157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$61),ROUNDUP(1000/$M5)*$M5*SIGN($M5-$AI5),-ROUNDDOWN(((-$V5-$AH5)*$P5+$U5)/$M5)*$M5),IF($N5=0,-$O$7/SUMIFS($B$2:$B$5,$K$2:$K$5,"&gt;0")*$B5,0)))</f>
        <v>0</v>
      </c>
      <c r="U5" s="158">
        <f t="shared" si="7"/>
        <v>0</v>
      </c>
      <c r="V5" s="159">
        <f t="array" ref="V5">INDEX(Price!$G:$K,2,ROW()-1)</f>
        <v>-0.003080960641</v>
      </c>
      <c r="W5" s="159" t="str">
        <f t="array" ref="W5">IF(AND($AG5&gt;MAX($B5*AVERAGE(Historic!$J:$J),0),ABS($T5)&gt;IF($Q5=0,0,1000),OR(AND($T5&lt;0,$M5&lt;$AI5),AND($T5&gt;0,$M5&gt;$AI5),$N5=0),OR($T5*$V5&gt;0,($P$7-$O$7)*$AJ5&lt;0)),IF(OR(AND($T5&lt;0,N5&lt;&gt;0),$V5&lt;AVERAGEIFS(INDEX(Price!$G:$K,0,ROW()-1),INDEX(Price!$G:$K,0,ROW()-1),"&lt;0",INDEX(Price!$G:$K,0,ROW()-1),"&gt;-0.03")*2),"BUY",IF(OR(AND($T5&gt;0,N5&lt;&gt;0),$V5&gt;AVERAGEIFS(INDEX(Price!$G:$K,0,ROW()-1),INDEX(Price!$G:$K,0,ROW()-1),"&gt;0",INDEX(Price!$G:$K,0,ROW()-1),"&lt;0.03")*2),"SELL","HOLD")),"HOLD") &amp; " (" &amp; ROUND($V5*100,2) &amp; "%)"</f>
        <v>HOLD (-0.31%)</v>
      </c>
      <c r="X5" s="150">
        <f t="array" ref="X5">($M5-INDEX(Price!$B:$F,MIN(3,COLUMNS(Price!$B:$F)),ROW()-1))*$K5</f>
        <v>28.24</v>
      </c>
      <c r="Y5" s="160">
        <f t="shared" si="8"/>
        <v>0.0008408142679</v>
      </c>
      <c r="Z5" s="31">
        <f>SUMIFS(Historic!G:G,Historic!D:D,"=DIVIDEND",Historic!C:C,"=" &amp; H5,Historic!H:H,"&lt;&gt;XXXXXX")</f>
        <v>0</v>
      </c>
      <c r="AA5" s="159">
        <f t="shared" si="9"/>
        <v>0</v>
      </c>
      <c r="AB5" s="31">
        <f t="shared" si="10"/>
        <v>10757.37</v>
      </c>
      <c r="AC5" s="160">
        <f t="shared" si="11"/>
        <v>0.3202886041</v>
      </c>
      <c r="AD5" s="161">
        <f t="shared" ref="AD5:AE5" si="27">Z5+AB5</f>
        <v>10757.37</v>
      </c>
      <c r="AE5" s="162">
        <f t="shared" si="27"/>
        <v>0.3202886041</v>
      </c>
      <c r="AF5" s="163">
        <f>IF(AND($T5,OR($C5="",AND($Q5&lt;&gt;0,$T5&lt;&gt;0,OR(ABS($T5)&lt;=1000,SIGN($T5)&lt;&gt;SIGN($Q5))))),2+0.02/100*ABS($T5),0)+MIN(Dashboard!$B$48+Dashboard!$B$35+$T5,0)*4/100/360*(EOMONTH(DateTime!$B$2,0)-DateTime!$B$2)*SIGN($T5)</f>
        <v>0</v>
      </c>
      <c r="AG5" s="149">
        <f t="shared" si="13"/>
        <v>0</v>
      </c>
      <c r="AH5" s="164">
        <f t="shared" si="14"/>
        <v>-0.01086192249</v>
      </c>
      <c r="AI5" s="175">
        <f t="array" ref="AI5">AVERAGEIFS(OFFSET(INDEX(Price!$B:$F,0,ROW()-1),0,0,ROWS(Price!$B:$F),1),Price!$A:$A,"&gt;" &amp; DATE(DateTime!$B$4-1,DateTime!$B$5,DateTime!$B$6))</f>
        <v>115.9061961</v>
      </c>
      <c r="AJ5" s="159">
        <f t="shared" si="15"/>
        <v>0.07732689</v>
      </c>
      <c r="AK5" s="175">
        <f t="array" ref="AK5">AVERAGEIFS(OFFSET(INDEX(Price!$B:$F,0,ROW()-1),0,0,ROWS(Price!$B:$F),1),Price!$A:$A,"&lt;=" &amp; DATE(DateTime!$B$4,IF(DateTime!$B$5&gt;0,DateTime!$B$5-1,1),DateTime!$B$6))</f>
        <v>113.7235294</v>
      </c>
      <c r="AL5" s="159">
        <f t="shared" si="16"/>
        <v>0.01883131999</v>
      </c>
      <c r="AM5" s="178">
        <v>0.0</v>
      </c>
      <c r="AN5" s="149">
        <f t="shared" si="17"/>
        <v>38062.86</v>
      </c>
      <c r="AO5" s="149">
        <f t="shared" si="18"/>
        <v>40914.88722</v>
      </c>
      <c r="AP5" s="175">
        <f t="shared" si="19"/>
        <v>95.14586402</v>
      </c>
      <c r="AQ5" s="179">
        <v>43781.50048693287</v>
      </c>
      <c r="AR5" s="180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65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IF(MAXIFS(Historic!$A:$A,Historic!$C:$C,LEFT($H5,40)&amp;"*",Historic!$D:$D,"DIVIDEND",Historic!$A:$A,"&lt;"&amp;AR5)&lt;&gt;0,EDATE(AR5,ROUND((AR5-MAXIFS(Historic!$A:$A,Historic!$C:$C,LEFT($H5,40)&amp;"*",Historic!$D:$D,"DIVIDEND",Historic!$A:$A,"&lt;"&amp;AR5))/365.25*12)),)</f>
        <v/>
      </c>
      <c r="AT5" s="181" t="str">
        <f>IF($AS5,$AS5-DateTime!$B$2&amp;"d ("&amp;ROUND(($AS5-DateTime!$B$2)/30,1) &amp; "m)",)</f>
        <v/>
      </c>
      <c r="AU5" s="157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2">
        <f t="shared" si="20"/>
        <v>0</v>
      </c>
      <c r="AW5" s="183">
        <f t="shared" si="21"/>
        <v>-0.01086192249</v>
      </c>
      <c r="AX5" s="184">
        <f t="shared" si="22"/>
        <v>1.019284288</v>
      </c>
      <c r="AY5" s="185">
        <f t="shared" si="23"/>
        <v>-38062.86</v>
      </c>
      <c r="AZ5" s="186">
        <f t="shared" si="24"/>
        <v>-2924.470708</v>
      </c>
      <c r="BA5" s="186">
        <f t="shared" si="25"/>
        <v>-1149.467183</v>
      </c>
    </row>
    <row r="6">
      <c r="A6" s="138" t="s">
        <v>118</v>
      </c>
      <c r="B6" s="140">
        <v>0.075</v>
      </c>
      <c r="C6" s="187" t="s">
        <v>288</v>
      </c>
      <c r="D6" s="188" t="s">
        <v>319</v>
      </c>
      <c r="E6" s="143" t="s">
        <v>320</v>
      </c>
      <c r="F6" s="144" t="s">
        <v>92</v>
      </c>
      <c r="G6" s="143" t="str">
        <f>IFERROR(__xludf.DUMMYFUNCTION("INDEX(SPLIT($E6,"" ""),1,1)"),"AIGCP")</f>
        <v>AIGCP</v>
      </c>
      <c r="H6" s="143" t="str">
        <f>IFERROR(__xludf.DUMMYFUNCTION("TRIM(INDEX(SPLIT(SPLIT($E6,$I6,FALSE),"" | "",FALSE),1,2))"),"ETFS All Commodities ETC")</f>
        <v>ETFS All Commodities ETC</v>
      </c>
      <c r="I6" s="143" t="str">
        <f>IFERROR(__xludf.DUMMYFUNCTION("INDEX(SPLIT(SPLIT($E6,""ETF "",FALSE),"" ""),1,COLUMNS(SPLIT(SPLIT($E6,""ETF "",FALSE),"" "")))"),"Paris")</f>
        <v>Paris</v>
      </c>
      <c r="J6" s="143" t="str">
        <f t="shared" si="2"/>
        <v>FP</v>
      </c>
      <c r="K6" s="146">
        <f>SUMIFS(Historic!E:E,Historic!D:D,"&lt;&gt;DIVIDEND",Historic!C:C,"=" &amp; H6)</f>
        <v>11745</v>
      </c>
      <c r="L6" s="189">
        <f>IFERROR(__xludf.DUMMYFUNCTION("SWITCH($J6,""Symbol"",,,,""FP"",IMPORTXML(""https://bloomberg.com/quote/""&amp;$G6&amp;"":""&amp;$J6,""//span[@class='priceText__1853e8a5']""),IMPORTXML(""https://www.investing.com/etfs/""&amp;$D6,""//span[@id='last_last']""))"),7.38)</f>
        <v>7.38</v>
      </c>
      <c r="M6" s="189">
        <v>7.38</v>
      </c>
      <c r="N6" s="18">
        <f>IF($K6,-SUMIFS(Historic!G:G,Historic!D:D,"&lt;&gt;DIVIDEND",Historic!C:C,"=" &amp; H6)-$AM6,0)</f>
        <v>84366.03</v>
      </c>
      <c r="O6" s="149">
        <f t="shared" si="3"/>
        <v>86678.1</v>
      </c>
      <c r="P6" s="150">
        <f t="shared" si="4"/>
        <v>87740.12732</v>
      </c>
      <c r="Q6" s="18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4167.23</v>
      </c>
      <c r="R6" s="152">
        <f t="shared" si="5"/>
        <v>3</v>
      </c>
      <c r="S6" s="154">
        <f t="shared" si="6"/>
        <v>0</v>
      </c>
      <c r="T6" s="157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$61),ROUNDUP(1000/$M6)*$M6*SIGN($M6-$AI6),-ROUNDDOWN(((-$V6-$AH6)*$P6+$U6)/$M6)*$M6),IF($N6=0,-$O$7/SUMIFS($B$2:$B$5,$K$2:$K$5,"&gt;0")*$B6,0)))</f>
        <v>0</v>
      </c>
      <c r="U6" s="158">
        <f t="shared" si="7"/>
        <v>29.52</v>
      </c>
      <c r="V6" s="159">
        <f t="array" ref="V6">INDEX(Price!$G:$K,2,ROW()-1)</f>
        <v>-0.002931574444</v>
      </c>
      <c r="W6" s="159" t="str">
        <f t="array" ref="W6">IF(AND($AG6&gt;MAX($B6*AVERAGE(Historic!$J:$J),0),ABS($T6)&gt;IF($Q6=0,0,1000),OR(AND($T6&lt;0,$M6&lt;$AI6),AND($T6&gt;0,$M6&gt;$AI6),$N6=0),OR($T6*$V6&gt;0,($P$7-$O$7)*$AJ6&lt;0)),IF(OR(AND($T6&lt;0,N6&lt;&gt;0),$V6&lt;AVERAGEIFS(INDEX(Price!$G:$K,0,ROW()-1),INDEX(Price!$G:$K,0,ROW()-1),"&lt;0",INDEX(Price!$G:$K,0,ROW()-1),"&gt;-0.03")*2),"BUY",IF(OR(AND($T6&gt;0,N6&lt;&gt;0),$V6&gt;AVERAGEIFS(INDEX(Price!$G:$K,0,ROW()-1),INDEX(Price!$G:$K,0,ROW()-1),"&gt;0",INDEX(Price!$G:$K,0,ROW()-1),"&lt;0.03")*2),"SELL","HOLD")),"HOLD") &amp; " (" &amp; ROUND($V6*100,2) &amp; "%)"</f>
        <v>HOLD (-0.29%)</v>
      </c>
      <c r="X6" s="150">
        <f t="array" ref="X6">($M6-INDEX(Price!$B:$F,MIN(3,COLUMNS(Price!$B:$F)),ROW()-1))*$K6</f>
        <v>93.96</v>
      </c>
      <c r="Y6" s="160">
        <f t="shared" si="8"/>
        <v>0.001113718401</v>
      </c>
      <c r="Z6" s="31">
        <f>SUMIFS(Historic!G:G,Historic!D:D,"=DIVIDEND",Historic!C:C,"=" &amp; H6,Historic!H:H,"&lt;&gt;XXXXXX")</f>
        <v>0</v>
      </c>
      <c r="AA6" s="159">
        <f t="shared" si="9"/>
        <v>0</v>
      </c>
      <c r="AB6" s="31">
        <f t="shared" si="10"/>
        <v>2312.07</v>
      </c>
      <c r="AC6" s="160">
        <f t="shared" si="11"/>
        <v>0.02740522459</v>
      </c>
      <c r="AD6" s="190">
        <f t="shared" ref="AD6:AE6" si="28">Z6+AB6</f>
        <v>2312.07</v>
      </c>
      <c r="AE6" s="162">
        <f t="shared" si="28"/>
        <v>0.02740522459</v>
      </c>
      <c r="AF6" s="163">
        <f>IF(AND($T6,OR($C6="",AND($Q6&lt;&gt;0,$T6&lt;&gt;0,OR(ABS($T6)&lt;=1000,SIGN($T6)&lt;&gt;SIGN($Q6))))),2+0.02/100*ABS($T6),0)+MIN(Dashboard!$B$48+Dashboard!$B$35+$T6,0)*4/100/360*(EOMONTH(DateTime!$B$2,0)-DateTime!$B$2)*SIGN($T6)</f>
        <v>0</v>
      </c>
      <c r="AG6" s="149">
        <f t="shared" si="13"/>
        <v>0</v>
      </c>
      <c r="AH6" s="164">
        <f t="shared" si="14"/>
        <v>-0.01225254495</v>
      </c>
      <c r="AI6" s="175">
        <f t="array" ref="AI6">AVERAGEIFS(OFFSET(INDEX(Price!$B:$F,0,ROW()-1),0,0,ROWS(Price!$B:$F),1),Price!$A:$A,"&gt;" &amp; DATE(DateTime!$B$4-1,DateTime!$B$5,DateTime!$B$6))</f>
        <v>7.247003922</v>
      </c>
      <c r="AJ6" s="159">
        <f t="shared" si="15"/>
        <v>0.01802114884</v>
      </c>
      <c r="AK6" s="175">
        <f t="array" ref="AK6">AVERAGEIFS(OFFSET(INDEX(Price!$B:$F,0,ROW()-1),0,0,ROWS(Price!$B:$F),1),Price!$A:$A,"&lt;=" &amp; DATE(DateTime!$B$4,IF(DateTime!$B$5&gt;0,DateTime!$B$5-1,1),DateTime!$B$6))</f>
        <v>7.265894118</v>
      </c>
      <c r="AL6" s="159">
        <f t="shared" si="16"/>
        <v>-0.002606621479</v>
      </c>
      <c r="AM6" s="178">
        <v>-0.01</v>
      </c>
      <c r="AN6" s="149">
        <f t="shared" si="17"/>
        <v>1055.34</v>
      </c>
      <c r="AO6" s="149">
        <f t="shared" si="18"/>
        <v>85116.06106</v>
      </c>
      <c r="AP6" s="175">
        <f t="shared" si="19"/>
        <v>7.183144317</v>
      </c>
      <c r="AQ6" s="179">
        <v>43781.50048693287</v>
      </c>
      <c r="AR6" s="180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65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IF(MAXIFS(Historic!$A:$A,Historic!$C:$C,LEFT($H6,40)&amp;"*",Historic!$D:$D,"DIVIDEND",Historic!$A:$A,"&lt;"&amp;AR6)&lt;&gt;0,EDATE(AR6,ROUND((AR6-MAXIFS(Historic!$A:$A,Historic!$C:$C,LEFT($H6,40)&amp;"*",Historic!$D:$D,"DIVIDEND",Historic!$A:$A,"&lt;"&amp;AR6))/365.25*12)),)</f>
        <v/>
      </c>
      <c r="AT6" s="181" t="str">
        <f>IF($AS6,$AS6-DateTime!$B$2&amp;"d ("&amp;ROUND(($AS6-DateTime!$B$2)/30,1) &amp; "m)",)</f>
        <v/>
      </c>
      <c r="AU6" s="157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2">
        <f t="shared" si="20"/>
        <v>0</v>
      </c>
      <c r="AW6" s="183">
        <f t="shared" si="21"/>
        <v>0.06905582201</v>
      </c>
      <c r="AX6" s="184">
        <f t="shared" si="22"/>
        <v>0.9878957628</v>
      </c>
      <c r="AY6" s="185">
        <f t="shared" si="23"/>
        <v>-1084.86</v>
      </c>
      <c r="AZ6" s="186">
        <f t="shared" si="24"/>
        <v>-2110.168885</v>
      </c>
      <c r="BA6" s="186">
        <f t="shared" si="25"/>
        <v>-1332.256569</v>
      </c>
    </row>
    <row r="7">
      <c r="A7" s="191" t="s">
        <v>327</v>
      </c>
      <c r="B7" s="192">
        <f>SUM(OFFSET(B:B,1,0,ROW()-2,1))</f>
        <v>1</v>
      </c>
      <c r="C7" s="193"/>
      <c r="D7" s="194"/>
      <c r="E7" s="195"/>
      <c r="F7" s="195"/>
      <c r="G7" s="194"/>
      <c r="H7" s="191" t="s">
        <v>327</v>
      </c>
      <c r="I7" s="193"/>
      <c r="J7" s="193"/>
      <c r="K7" s="196"/>
      <c r="L7" s="197" t="str">
        <f>IFERROR(__xludf.DUMMYFUNCTION("SWITCH($J7,""Symbol"",,,,""FP"",IMPORTXML(""https://bloomberg.com/quote/""&amp;$G7&amp;"":""&amp;$J7,""//span[@class='priceText__1853e8a5']""),IMPORTXML(""https://www.investing.com/etfs/""&amp;$D7,""//span[@id='last_last']""))"),"")</f>
        <v/>
      </c>
      <c r="M7" s="198"/>
      <c r="N7" s="199">
        <f>SUM(N$1:N$6)-$AM$7</f>
        <v>570436.94</v>
      </c>
      <c r="O7" s="199">
        <f>SUM(OFFSET(O:O,1,0,ROW()-2,1))</f>
        <v>676134.273</v>
      </c>
      <c r="P7" s="200">
        <f>(Allocation!$B$17+Dashboard!$B$20+Dashboard!$B$56+$AU$7)*(1+$AJ$7)</f>
        <v>1191337.637</v>
      </c>
      <c r="Q7" s="201"/>
      <c r="R7" s="199"/>
      <c r="S7" s="199">
        <f>$P$7-$O$7</f>
        <v>515203.3641</v>
      </c>
      <c r="T7" s="199">
        <f>SUMIFS(OFFSET(T:T,1,0,ROW()-2,1),OFFSET(W:W,1,0,ROW()-2,1),"&lt;&gt;HOLD*")</f>
        <v>0</v>
      </c>
      <c r="U7" s="202">
        <f>$P$7*(1-$AJ$7)-$O$7-$AN7</f>
        <v>140.7237127</v>
      </c>
      <c r="V7" s="201"/>
      <c r="W7" s="203" t="str">
        <f>IFERROR(__xludf.DUMMYFUNCTION("INDEX(SPLIT(IFERROR(VLOOKUP(""SELL*"",OFFSET($W:$W,1,0,ROW()-2,1),1,FALSE),IFERROR(VLOOKUP(""BUY*"",OFFSET($W:$W,1,0,ROW()-2,1),1,FALSE),""HOLD"")),"" ""),1,1)"),"HOLD")</f>
        <v>HOLD</v>
      </c>
      <c r="X7" s="200">
        <f>SUM(OFFSET(X:X,1,0,ROW()-2,1))</f>
        <v>2126.027</v>
      </c>
      <c r="Y7" s="204">
        <f>IF(OR(X$7=0,$N$7=0),0,X$7/$N$7)</f>
        <v>0.003727014944</v>
      </c>
      <c r="Z7" s="199">
        <f>SUM(OFFSET(Z:Z,1,0,ROW()-2,1))</f>
        <v>12525.41</v>
      </c>
      <c r="AA7" s="205">
        <f>IF(OR(Z$7=0,$N$7=0),0,Z$7/$N$7)</f>
        <v>0.02195757168</v>
      </c>
      <c r="AB7" s="199">
        <f>SUM(OFFSET(AB:AB,1,0,ROW()-2,1))</f>
        <v>105697.343</v>
      </c>
      <c r="AC7" s="204">
        <f>IF(OR(AB$7=0,$N$7=0),0,AB$7/$N$7)</f>
        <v>0.1852918975</v>
      </c>
      <c r="AD7" s="206">
        <f>SUM(OFFSET(AD:AD,1,0,ROW()-2,1))</f>
        <v>118222.753</v>
      </c>
      <c r="AE7" s="205">
        <f>$AA$7+$AC$7</f>
        <v>0.2072494692</v>
      </c>
      <c r="AF7" s="207">
        <f t="array" ref="AF7">SUMIFS(Historic!G:G,Historic!D:D,"=COST",Historic!B:B,"",Historic!A:A,"&gt;="&amp;INDEX(Evolution!A:A, ROWS(Evolution!A:A)))</f>
        <v>-10049.52</v>
      </c>
      <c r="AG7" s="208">
        <f>SUM(OFFSET(AG:AG,1,0,ROW()-2,1))</f>
        <v>56.0482342</v>
      </c>
      <c r="AH7" s="209">
        <f>SUMPRODUCT(OFFSET(AH:AH,1,0,ROW()-2,1),OFFSET($B:$B,1,0,ROW()-2,1))</f>
        <v>-0.01722866047</v>
      </c>
      <c r="AI7" s="199"/>
      <c r="AJ7" s="205">
        <f>SUMPRODUCT(OFFSET(AJ:AJ,1,0,ROW()-2,1),OFFSET($B:$B,1,0,ROW()-2,1))</f>
        <v>0.06886612815</v>
      </c>
      <c r="AK7" s="209"/>
      <c r="AL7" s="209">
        <f>SUMPRODUCT(OFFSET(AL:AL,1,0,ROW()-2,1),OFFSET($B:$B,1,0,ROW()-2,1))</f>
        <v>0.01386785511</v>
      </c>
      <c r="AM7" s="210">
        <v>-0.01</v>
      </c>
      <c r="AN7" s="199">
        <f t="shared" ref="AN7:AO7" si="29">SUM(AN$1:AN$6)</f>
        <v>433019.83</v>
      </c>
      <c r="AO7" s="199">
        <f t="shared" si="29"/>
        <v>631484.7481</v>
      </c>
      <c r="AP7" s="211"/>
      <c r="AQ7" s="212">
        <f>DateTime!$B$1-MAX($AQ2:$AQ6)</f>
        <v>0.0005661342584</v>
      </c>
      <c r="AR7" s="213"/>
      <c r="AS7" s="214"/>
      <c r="AT7" s="215"/>
      <c r="AU7" s="208">
        <f>SUMIFS(OFFSET($AU:$AU,1,0,ROW()-2,1),OFFSET($AS:$AS,1,0,ROW()-2,1),"&lt;="&amp;DateTime!$B$2+15)</f>
        <v>0</v>
      </c>
      <c r="AV7" s="216">
        <f t="shared" ref="AV7:AW7" si="30">SUM(OFFSET(AV:AV,1,0,ROW()-2,1))</f>
        <v>973.1190197</v>
      </c>
      <c r="AW7" s="217">
        <f t="shared" si="30"/>
        <v>0.02126938609</v>
      </c>
      <c r="AX7" s="217">
        <f>SUMPRODUCT(OFFSET(AX:AX,1,0,ROW()-2,1),OFFSET($B:$B,1,0,ROW()-2,1))</f>
        <v>0.9936820402</v>
      </c>
      <c r="AY7" s="218">
        <f t="shared" ref="AY7:BA7" si="31">SUM(OFFSET(AY:AY,1,0,ROW()-2,1))</f>
        <v>-433160.536</v>
      </c>
      <c r="AZ7" s="219">
        <f t="shared" si="31"/>
        <v>-57300.72701</v>
      </c>
      <c r="BA7" s="219">
        <f t="shared" si="31"/>
        <v>-19708.5918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AJ2:AJ7">
    <cfRule type="cellIs" dxfId="4" priority="6" operator="lessThan">
      <formula>0</formula>
    </cfRule>
  </conditionalFormatting>
  <conditionalFormatting sqref="AJ2:AJ7">
    <cfRule type="cellIs" dxfId="5" priority="7" operator="greaterThan">
      <formula>0</formula>
    </cfRule>
  </conditionalFormatting>
  <conditionalFormatting sqref="X2:AG7">
    <cfRule type="cellIs" dxfId="6" priority="8" operator="equal">
      <formula>0</formula>
    </cfRule>
  </conditionalFormatting>
  <conditionalFormatting sqref="S2:T6">
    <cfRule type="expression" dxfId="0" priority="9">
      <formula>LEFT($W2,4)&lt;&gt;"HOLD"</formula>
    </cfRule>
  </conditionalFormatting>
  <conditionalFormatting sqref="S2:T6">
    <cfRule type="expression" dxfId="7" priority="10">
      <formula>LEFT($W2,4)="HOLD"</formula>
    </cfRule>
  </conditionalFormatting>
  <conditionalFormatting sqref="N2:N7">
    <cfRule type="expression" dxfId="8" priority="11">
      <formula>ABS($AM2)&gt;0.01</formula>
    </cfRule>
  </conditionalFormatting>
  <conditionalFormatting sqref="AU2:AU6">
    <cfRule type="expression" dxfId="3" priority="12">
      <formula>AND(AS2&lt;&gt;"",AS2&lt;TODAY()+15)</formula>
    </cfRule>
  </conditionalFormatting>
  <conditionalFormatting sqref="AU7">
    <cfRule type="cellIs" dxfId="9" priority="13" operator="greaterThan">
      <formula>0</formula>
    </cfRule>
  </conditionalFormatting>
  <conditionalFormatting sqref="X2:Y7 AD2:AE7">
    <cfRule type="cellIs" dxfId="4" priority="14" operator="greaterThan">
      <formula>0</formula>
    </cfRule>
  </conditionalFormatting>
  <conditionalFormatting sqref="X2:Y7 AD2:AE7">
    <cfRule type="cellIs" dxfId="5" priority="15" operator="lessThan">
      <formula>0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48.57"/>
    <col customWidth="1" min="4" max="4" width="21.71"/>
    <col customWidth="1" min="5" max="5" width="11.57"/>
    <col customWidth="1" min="6" max="6" width="10.43"/>
    <col customWidth="1" min="7" max="7" width="12.43"/>
    <col customWidth="1" hidden="1" min="8" max="8" width="71.0"/>
    <col customWidth="1" min="9" max="9" width="12.57"/>
    <col customWidth="1" min="10" max="10" width="12.86"/>
    <col customWidth="1" hidden="1" min="11" max="11" width="30.14"/>
    <col customWidth="1" hidden="1" min="12" max="12" width="6.29"/>
    <col customWidth="1" hidden="1" min="13" max="13" width="10.57"/>
    <col customWidth="1" hidden="1" min="14" max="14" width="12.57"/>
    <col customWidth="1" hidden="1" min="15" max="15" width="12.71"/>
    <col customWidth="1" hidden="1" min="16" max="16" width="48.0"/>
    <col customWidth="1" hidden="1" min="17" max="17" width="6.29"/>
    <col customWidth="1" hidden="1" min="18" max="18" width="13.14"/>
  </cols>
  <sheetData>
    <row r="1">
      <c r="A1" s="3" t="s">
        <v>2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80</v>
      </c>
      <c r="I1" s="3" t="s">
        <v>278</v>
      </c>
      <c r="J1" s="3" t="s">
        <v>279</v>
      </c>
      <c r="K1" s="3"/>
      <c r="L1" s="3"/>
      <c r="M1" s="3"/>
      <c r="N1" s="3"/>
      <c r="O1" s="3"/>
      <c r="P1" s="3" t="str">
        <f>IFERROR(__xludf.DUMMYFUNCTION("UNIQUE(K:M)"),"")</f>
        <v/>
      </c>
      <c r="Q1" s="3" t="str">
        <f>IFERROR(__xludf.DUMMYFUNCTION("""COMPUTED_VALUE"""),"")</f>
        <v/>
      </c>
      <c r="R1" s="3" t="str">
        <f>IFERROR(__xludf.DUMMYFUNCTION("""COMPUTED_VALUE"""),"")</f>
        <v/>
      </c>
    </row>
    <row r="2">
      <c r="A2" s="165">
        <v>43774.0</v>
      </c>
      <c r="B2" s="166" t="s">
        <v>138</v>
      </c>
      <c r="C2" s="167" t="s">
        <v>139</v>
      </c>
      <c r="D2" s="168" t="s">
        <v>280</v>
      </c>
      <c r="E2" s="168">
        <v>-15.0</v>
      </c>
      <c r="F2" s="169">
        <v>52.7</v>
      </c>
      <c r="G2" s="170">
        <v>790.5</v>
      </c>
      <c r="H2" s="167" t="s">
        <v>281</v>
      </c>
      <c r="I2" s="171">
        <f t="shared" ref="I2:J2" si="1">IFS(AND($B2&lt;&gt;"",$E2&lt;&gt;""),IF(INDEX(N:N,MATCH($C2,$P:$P,0),1)&lt;&gt;"",$E2*INDEX(N:N,MATCH($C2,$P:$P,0),1)+$G2,""),AND($B2&lt;&gt;"",$D2="COST",$G2&lt;0),$G2,TRUE,)</f>
        <v>-8.775</v>
      </c>
      <c r="J2" s="171">
        <f t="shared" si="1"/>
        <v>68.43323529</v>
      </c>
      <c r="K2" s="172" t="str">
        <f t="shared" ref="K2:K820" si="3">C2</f>
        <v>Vanguard S&amp;P 500 UCITS</v>
      </c>
      <c r="L2" s="173">
        <f t="shared" ref="L2:L820" si="4">IF($K2&lt;&gt;"", SUMIF($K:$K, $K2, E:E), "")</f>
        <v>3715</v>
      </c>
      <c r="M2" s="174">
        <f t="shared" ref="M2:M820" si="5">IF($K2&lt;&gt;"", SUMIF($K:$K, $K2, G:G), "")</f>
        <v>-151722.66</v>
      </c>
      <c r="N2" s="176">
        <f>IF($P2&lt;&gt;"",IF(MAXIFS(Investment!$M:$M,Investment!$H:$H,LEFT($P2,30)&amp;"*"),MAXIFS(Investment!$M:$M,Investment!$H:$H,LEFT($P2,30)&amp;"*"),),)</f>
        <v>53.285</v>
      </c>
      <c r="O2" s="177">
        <f>IF($P2&lt;&gt;"",IF(MAXIFS(Investment!$AI:$AI,Investment!$H:$H,LEFT($P2,30)&amp;"*"),MAXIFS(Investment!$AI:$AI,Investment!$H:$H,LEFT($P2,30)&amp;"*"),),)</f>
        <v>48.13778431</v>
      </c>
      <c r="P2" s="172" t="str">
        <f>IFERROR(__xludf.DUMMYFUNCTION("""COMPUTED_VALUE"""),"Vanguard S&amp;P 500 UCITS")</f>
        <v>Vanguard S&amp;P 500 UCITS</v>
      </c>
      <c r="Q2" s="173">
        <f>IFERROR(__xludf.DUMMYFUNCTION("""COMPUTED_VALUE"""),3715.0)</f>
        <v>3715</v>
      </c>
      <c r="R2" s="171">
        <f>IFERROR(__xludf.DUMMYFUNCTION("""COMPUTED_VALUE"""),-151722.65999999997)</f>
        <v>-151722.66</v>
      </c>
    </row>
    <row r="3">
      <c r="A3" s="165">
        <v>43774.0</v>
      </c>
      <c r="B3" s="166" t="s">
        <v>138</v>
      </c>
      <c r="C3" s="167" t="s">
        <v>139</v>
      </c>
      <c r="D3" s="168" t="s">
        <v>280</v>
      </c>
      <c r="E3" s="168">
        <v>-4.0</v>
      </c>
      <c r="F3" s="169">
        <v>52.7</v>
      </c>
      <c r="G3" s="170">
        <v>210.8</v>
      </c>
      <c r="H3" s="167" t="s">
        <v>282</v>
      </c>
      <c r="I3" s="171">
        <f t="shared" ref="I3:J3" si="2">IFS(AND($B3&lt;&gt;"",$E3&lt;&gt;""),IF(INDEX(N:N,MATCH($C3,$P:$P,0),1)&lt;&gt;"",$E3*INDEX(N:N,MATCH($C3,$P:$P,0),1)+$G3,""),AND($B3&lt;&gt;"",$D3="COST",$G3&lt;0),$G3,TRUE,)</f>
        <v>-2.34</v>
      </c>
      <c r="J3" s="171">
        <f t="shared" si="2"/>
        <v>18.24886275</v>
      </c>
      <c r="K3" s="172" t="str">
        <f t="shared" si="3"/>
        <v>Vanguard S&amp;P 500 UCITS</v>
      </c>
      <c r="L3" s="173">
        <f t="shared" si="4"/>
        <v>3715</v>
      </c>
      <c r="M3" s="174">
        <f t="shared" si="5"/>
        <v>-151722.66</v>
      </c>
      <c r="N3" s="176">
        <f>IF($P3&lt;&gt;"",IF(MAXIFS(Investment!$M:$M,Investment!$H:$H,LEFT($P3,30)&amp;"*"),MAXIFS(Investment!$M:$M,Investment!$H:$H,LEFT($P3,30)&amp;"*"),),)</f>
        <v>7.38</v>
      </c>
      <c r="O3" s="177">
        <f>IF($P3&lt;&gt;"",IF(MAXIFS(Investment!$AI:$AI,Investment!$H:$H,LEFT($P3,30)&amp;"*"),MAXIFS(Investment!$AI:$AI,Investment!$H:$H,LEFT($P3,30)&amp;"*"),),)</f>
        <v>7.247003922</v>
      </c>
      <c r="P3" s="172" t="str">
        <f>IFERROR(__xludf.DUMMYFUNCTION("""COMPUTED_VALUE"""),"ETFS All Commodities ETC")</f>
        <v>ETFS All Commodities ETC</v>
      </c>
      <c r="Q3" s="173">
        <f>IFERROR(__xludf.DUMMYFUNCTION("""COMPUTED_VALUE"""),11745.0)</f>
        <v>11745</v>
      </c>
      <c r="R3" s="171">
        <f>IFERROR(__xludf.DUMMYFUNCTION("""COMPUTED_VALUE"""),-84366.02)</f>
        <v>-84366.02</v>
      </c>
    </row>
    <row r="4">
      <c r="A4" s="165">
        <v>43774.0</v>
      </c>
      <c r="B4" s="166" t="s">
        <v>138</v>
      </c>
      <c r="C4" s="167" t="s">
        <v>139</v>
      </c>
      <c r="D4" s="168" t="s">
        <v>280</v>
      </c>
      <c r="E4" s="168">
        <v>-33.0</v>
      </c>
      <c r="F4" s="169">
        <v>52.67</v>
      </c>
      <c r="G4" s="170">
        <v>1738.11</v>
      </c>
      <c r="H4" s="167" t="s">
        <v>283</v>
      </c>
      <c r="I4" s="171">
        <f t="shared" ref="I4:J4" si="6">IFS(AND($B4&lt;&gt;"",$E4&lt;&gt;""),IF(INDEX(N:N,MATCH($C4,$P:$P,0),1)&lt;&gt;"",$E4*INDEX(N:N,MATCH($C4,$P:$P,0),1)+$G4,""),AND($B4&lt;&gt;"",$D4="COST",$G4&lt;0),$G4,TRUE,)</f>
        <v>-20.295</v>
      </c>
      <c r="J4" s="171">
        <f t="shared" si="6"/>
        <v>149.5631176</v>
      </c>
      <c r="K4" s="172" t="str">
        <f t="shared" si="3"/>
        <v>Vanguard S&amp;P 500 UCITS</v>
      </c>
      <c r="L4" s="173">
        <f t="shared" si="4"/>
        <v>3715</v>
      </c>
      <c r="M4" s="174">
        <f t="shared" si="5"/>
        <v>-151722.66</v>
      </c>
      <c r="N4" s="176" t="str">
        <f>IF($P4&lt;&gt;"",IF(MAXIFS(Investment!$M:$M,Investment!$H:$H,LEFT($P4,30)&amp;"*"),MAXIFS(Investment!$M:$M,Investment!$H:$H,LEFT($P4,30)&amp;"*"),),)</f>
        <v/>
      </c>
      <c r="O4" s="177" t="str">
        <f>IF($P4&lt;&gt;"",IF(MAXIFS(Investment!$AI:$AI,Investment!$H:$H,LEFT($P4,30)&amp;"*"),MAXIFS(Investment!$AI:$AI,Investment!$H:$H,LEFT($P4,30)&amp;"*"),),)</f>
        <v/>
      </c>
      <c r="P4" s="172" t="str">
        <f>IFERROR(__xludf.DUMMYFUNCTION("""COMPUTED_VALUE"""),"")</f>
        <v/>
      </c>
      <c r="Q4" s="173" t="str">
        <f>IFERROR(__xludf.DUMMYFUNCTION("""COMPUTED_VALUE"""),"")</f>
        <v/>
      </c>
      <c r="R4" s="171" t="str">
        <f>IFERROR(__xludf.DUMMYFUNCTION("""COMPUTED_VALUE"""),"")</f>
        <v/>
      </c>
    </row>
    <row r="5">
      <c r="A5" s="165">
        <v>43774.0</v>
      </c>
      <c r="B5" s="166" t="s">
        <v>118</v>
      </c>
      <c r="C5" s="167" t="s">
        <v>120</v>
      </c>
      <c r="D5" s="168" t="s">
        <v>280</v>
      </c>
      <c r="E5" s="168">
        <v>-200.0</v>
      </c>
      <c r="F5" s="169">
        <v>7.45</v>
      </c>
      <c r="G5" s="170">
        <v>1490.0</v>
      </c>
      <c r="H5" s="167" t="s">
        <v>284</v>
      </c>
      <c r="I5" s="171">
        <f t="shared" ref="I5:J5" si="7">IFS(AND($B5&lt;&gt;"",$E5&lt;&gt;""),IF(INDEX(N:N,MATCH($C5,$P:$P,0),1)&lt;&gt;"",$E5*INDEX(N:N,MATCH($C5,$P:$P,0),1)+$G5,""),AND($B5&lt;&gt;"",$D5="COST",$G5&lt;0),$G5,TRUE,)</f>
        <v>14</v>
      </c>
      <c r="J5" s="171">
        <f t="shared" si="7"/>
        <v>40.59921569</v>
      </c>
      <c r="K5" s="172" t="str">
        <f t="shared" si="3"/>
        <v>ETFS All Commodities ETC</v>
      </c>
      <c r="L5" s="173">
        <f t="shared" si="4"/>
        <v>11745</v>
      </c>
      <c r="M5" s="174">
        <f t="shared" si="5"/>
        <v>-84366.02</v>
      </c>
      <c r="N5" s="176">
        <f>IF($P5&lt;&gt;"",IF(MAXIFS(Investment!$M:$M,Investment!$H:$H,LEFT($P5,30)&amp;"*"),MAXIFS(Investment!$M:$M,Investment!$H:$H,LEFT($P5,30)&amp;"*"),),)</f>
        <v>125.62</v>
      </c>
      <c r="O5" s="177">
        <f>IF($P5&lt;&gt;"",IF(MAXIFS(Investment!$AI:$AI,Investment!$H:$H,LEFT($P5,30)&amp;"*"),MAXIFS(Investment!$AI:$AI,Investment!$H:$H,LEFT($P5,30)&amp;"*"),),)</f>
        <v>115.9061961</v>
      </c>
      <c r="P5" s="172" t="str">
        <f>IFERROR(__xludf.DUMMYFUNCTION("""COMPUTED_VALUE"""),"ETFS Physical Gold")</f>
        <v>ETFS Physical Gold</v>
      </c>
      <c r="Q5" s="173">
        <f>IFERROR(__xludf.DUMMYFUNCTION("""COMPUTED_VALUE"""),353.0)</f>
        <v>353</v>
      </c>
      <c r="R5" s="171">
        <f>IFERROR(__xludf.DUMMYFUNCTION("""COMPUTED_VALUE"""),-33586.490000000005)</f>
        <v>-33586.49</v>
      </c>
    </row>
    <row r="6">
      <c r="A6" s="165">
        <v>43774.0</v>
      </c>
      <c r="B6" s="166" t="s">
        <v>138</v>
      </c>
      <c r="C6" s="167" t="s">
        <v>139</v>
      </c>
      <c r="D6" s="168" t="s">
        <v>280</v>
      </c>
      <c r="E6" s="168">
        <v>-30.0</v>
      </c>
      <c r="F6" s="169">
        <v>52.581</v>
      </c>
      <c r="G6" s="170">
        <v>1577.43</v>
      </c>
      <c r="H6" s="167" t="s">
        <v>285</v>
      </c>
      <c r="I6" s="171">
        <f t="shared" ref="I6:J6" si="8">IFS(AND($B6&lt;&gt;"",$E6&lt;&gt;""),IF(INDEX(N:N,MATCH($C6,$P:$P,0),1)&lt;&gt;"",$E6*INDEX(N:N,MATCH($C6,$P:$P,0),1)+$G6,""),AND($B6&lt;&gt;"",$D6="COST",$G6&lt;0),$G6,TRUE,)</f>
        <v>-21.12</v>
      </c>
      <c r="J6" s="171">
        <f t="shared" si="8"/>
        <v>133.2964706</v>
      </c>
      <c r="K6" s="172" t="str">
        <f t="shared" si="3"/>
        <v>Vanguard S&amp;P 500 UCITS</v>
      </c>
      <c r="L6" s="173">
        <f t="shared" si="4"/>
        <v>3715</v>
      </c>
      <c r="M6" s="174">
        <f t="shared" si="5"/>
        <v>-151722.66</v>
      </c>
      <c r="N6" s="176" t="str">
        <f>IF($P6&lt;&gt;"",IF(MAXIFS(Investment!$M:$M,Investment!$H:$H,LEFT($P6,30)&amp;"*"),MAXIFS(Investment!$M:$M,Investment!$H:$H,LEFT($P6,30)&amp;"*"),),)</f>
        <v/>
      </c>
      <c r="O6" s="177" t="str">
        <f>IF($P6&lt;&gt;"",IF(MAXIFS(Investment!$AI:$AI,Investment!$H:$H,LEFT($P6,30)&amp;"*"),MAXIFS(Investment!$AI:$AI,Investment!$H:$H,LEFT($P6,30)&amp;"*"),),)</f>
        <v/>
      </c>
      <c r="P6" s="172" t="str">
        <f>IFERROR(__xludf.DUMMYFUNCTION("""COMPUTED_VALUE"""),"Vanguard Intermediate-Term Treasury ETF")</f>
        <v>Vanguard Intermediate-Term Treasury ETF</v>
      </c>
      <c r="Q6" s="173">
        <f>IFERROR(__xludf.DUMMYFUNCTION("""COMPUTED_VALUE"""),0.0)</f>
        <v>0</v>
      </c>
      <c r="R6" s="171">
        <f>IFERROR(__xludf.DUMMYFUNCTION("""COMPUTED_VALUE"""),-1799.2399999999939)</f>
        <v>-1799.24</v>
      </c>
    </row>
    <row r="7">
      <c r="A7" s="165">
        <v>43774.0</v>
      </c>
      <c r="B7" s="166" t="s">
        <v>138</v>
      </c>
      <c r="C7" s="167" t="s">
        <v>139</v>
      </c>
      <c r="D7" s="168" t="s">
        <v>280</v>
      </c>
      <c r="E7" s="168">
        <v>-5.0</v>
      </c>
      <c r="F7" s="169">
        <v>52.58</v>
      </c>
      <c r="G7" s="170">
        <v>262.9</v>
      </c>
      <c r="H7" s="167" t="s">
        <v>286</v>
      </c>
      <c r="I7" s="171">
        <f t="shared" ref="I7:J7" si="9">IFS(AND($B7&lt;&gt;"",$E7&lt;&gt;""),IF(INDEX(N:N,MATCH($C7,$P:$P,0),1)&lt;&gt;"",$E7*INDEX(N:N,MATCH($C7,$P:$P,0),1)+$G7,""),AND($B7&lt;&gt;"",$D7="COST",$G7&lt;0),$G7,TRUE,)</f>
        <v>-3.525</v>
      </c>
      <c r="J7" s="171">
        <f t="shared" si="9"/>
        <v>22.21107843</v>
      </c>
      <c r="K7" s="172" t="str">
        <f t="shared" si="3"/>
        <v>Vanguard S&amp;P 500 UCITS</v>
      </c>
      <c r="L7" s="173">
        <f t="shared" si="4"/>
        <v>3715</v>
      </c>
      <c r="M7" s="174">
        <f t="shared" si="5"/>
        <v>-151722.66</v>
      </c>
      <c r="N7" s="176">
        <f>IF($P7&lt;&gt;"",IF(MAXIFS(Investment!$M:$M,Investment!$H:$H,LEFT($P7,30)&amp;"*"),MAXIFS(Investment!$M:$M,Investment!$H:$H,LEFT($P7,30)&amp;"*"),),)</f>
        <v>185.27</v>
      </c>
      <c r="O7" s="177">
        <f>IF($P7&lt;&gt;"",IF(MAXIFS(Investment!$AI:$AI,Investment!$H:$H,LEFT($P7,30)&amp;"*"),MAXIFS(Investment!$AI:$AI,Investment!$H:$H,LEFT($P7,30)&amp;"*"),),)</f>
        <v>176.7921176</v>
      </c>
      <c r="P7" s="172" t="str">
        <f>IFERROR(__xludf.DUMMYFUNCTION("""COMPUTED_VALUE"""),"iShares Treasury Bond 7-10 UCITS")</f>
        <v>iShares Treasury Bond 7-10 UCITS</v>
      </c>
      <c r="Q7" s="173">
        <f>IFERROR(__xludf.DUMMYFUNCTION("""COMPUTED_VALUE"""),547.0)</f>
        <v>547</v>
      </c>
      <c r="R7" s="171">
        <f>IFERROR(__xludf.DUMMYFUNCTION("""COMPUTED_VALUE"""),-81771.76000000001)</f>
        <v>-81771.76</v>
      </c>
    </row>
    <row r="8">
      <c r="A8" s="165">
        <v>43774.0</v>
      </c>
      <c r="B8" s="166" t="s">
        <v>138</v>
      </c>
      <c r="C8" s="167" t="s">
        <v>139</v>
      </c>
      <c r="D8" s="168" t="s">
        <v>280</v>
      </c>
      <c r="E8" s="168">
        <v>-5.0</v>
      </c>
      <c r="F8" s="169">
        <v>52.58</v>
      </c>
      <c r="G8" s="170">
        <v>262.9</v>
      </c>
      <c r="H8" s="167" t="s">
        <v>286</v>
      </c>
      <c r="I8" s="171">
        <f t="shared" ref="I8:J8" si="10">IFS(AND($B8&lt;&gt;"",$E8&lt;&gt;""),IF(INDEX(N:N,MATCH($C8,$P:$P,0),1)&lt;&gt;"",$E8*INDEX(N:N,MATCH($C8,$P:$P,0),1)+$G8,""),AND($B8&lt;&gt;"",$D8="COST",$G8&lt;0),$G8,TRUE,)</f>
        <v>-3.525</v>
      </c>
      <c r="J8" s="171">
        <f t="shared" si="10"/>
        <v>22.21107843</v>
      </c>
      <c r="K8" s="172" t="str">
        <f t="shared" si="3"/>
        <v>Vanguard S&amp;P 500 UCITS</v>
      </c>
      <c r="L8" s="173">
        <f t="shared" si="4"/>
        <v>3715</v>
      </c>
      <c r="M8" s="174">
        <f t="shared" si="5"/>
        <v>-151722.66</v>
      </c>
      <c r="N8" s="176">
        <f>IF($P8&lt;&gt;"",IF(MAXIFS(Investment!$M:$M,Investment!$H:$H,LEFT($P8,30)&amp;"*"),MAXIFS(Investment!$M:$M,Investment!$H:$H,LEFT($P8,30)&amp;"*"),),)</f>
        <v>4.616</v>
      </c>
      <c r="O8" s="177">
        <f>IF($P8&lt;&gt;"",IF(MAXIFS(Investment!$AI:$AI,Investment!$H:$H,LEFT($P8,30)&amp;"*"),MAXIFS(Investment!$AI:$AI,Investment!$H:$H,LEFT($P8,30)&amp;"*"),),)</f>
        <v>4.317440196</v>
      </c>
      <c r="P8" s="172" t="str">
        <f>IFERROR(__xludf.DUMMYFUNCTION("""COMPUTED_VALUE"""),"iShares Treasury Bond 20+ UCITS")</f>
        <v>iShares Treasury Bond 20+ UCITS</v>
      </c>
      <c r="Q8" s="173">
        <f>IFERROR(__xludf.DUMMYFUNCTION("""COMPUTED_VALUE"""),53253.0)</f>
        <v>53253</v>
      </c>
      <c r="R8" s="171">
        <f>IFERROR(__xludf.DUMMYFUNCTION("""COMPUTED_VALUE"""),-206464.56)</f>
        <v>-206464.56</v>
      </c>
    </row>
    <row r="9">
      <c r="A9" s="165">
        <v>43773.0</v>
      </c>
      <c r="B9" s="166" t="s">
        <v>138</v>
      </c>
      <c r="C9" s="167" t="s">
        <v>139</v>
      </c>
      <c r="D9" s="168" t="s">
        <v>280</v>
      </c>
      <c r="E9" s="168">
        <v>-24.0</v>
      </c>
      <c r="F9" s="169">
        <v>52.4829</v>
      </c>
      <c r="G9" s="170">
        <v>1259.59</v>
      </c>
      <c r="H9" s="167" t="s">
        <v>287</v>
      </c>
      <c r="I9" s="171">
        <f t="shared" ref="I9:J9" si="11">IFS(AND($B9&lt;&gt;"",$E9&lt;&gt;""),IF(INDEX(N:N,MATCH($C9,$P:$P,0),1)&lt;&gt;"",$E9*INDEX(N:N,MATCH($C9,$P:$P,0),1)+$G9,""),AND($B9&lt;&gt;"",$D9="COST",$G9&lt;0),$G9,TRUE,)</f>
        <v>-19.25</v>
      </c>
      <c r="J9" s="171">
        <f t="shared" si="11"/>
        <v>104.2831765</v>
      </c>
      <c r="K9" s="172" t="str">
        <f t="shared" si="3"/>
        <v>Vanguard S&amp;P 500 UCITS</v>
      </c>
      <c r="L9" s="173">
        <f t="shared" si="4"/>
        <v>3715</v>
      </c>
      <c r="M9" s="174">
        <f t="shared" si="5"/>
        <v>-151722.66</v>
      </c>
      <c r="N9" s="176">
        <f>IF($P9&lt;&gt;"",IF(MAXIFS(Investment!$M:$M,Investment!$H:$H,LEFT($P9,30)&amp;"*"),MAXIFS(Investment!$M:$M,Investment!$H:$H,LEFT($P9,30)&amp;"*"),),)</f>
        <v>4.616</v>
      </c>
      <c r="O9" s="177">
        <f>IF($P9&lt;&gt;"",IF(MAXIFS(Investment!$AI:$AI,Investment!$H:$H,LEFT($P9,30)&amp;"*"),MAXIFS(Investment!$AI:$AI,Investment!$H:$H,LEFT($P9,30)&amp;"*"),),)</f>
        <v>4.317440196</v>
      </c>
      <c r="P9" s="172" t="str">
        <f>IFERROR(__xludf.DUMMYFUNCTION("""COMPUTED_VALUE"""),"iShares Treasury Bond 20+ UCITS USD Dist")</f>
        <v>iShares Treasury Bond 20+ UCITS USD Dist</v>
      </c>
      <c r="Q9" s="173">
        <f>IFERROR(__xludf.DUMMYFUNCTION("""COMPUTED_VALUE"""),0.0)</f>
        <v>0</v>
      </c>
      <c r="R9" s="171">
        <f>IFERROR(__xludf.DUMMYFUNCTION("""COMPUTED_VALUE"""),27424.269999999975)</f>
        <v>27424.27</v>
      </c>
    </row>
    <row r="10">
      <c r="A10" s="165">
        <v>43773.0</v>
      </c>
      <c r="B10" s="166" t="s">
        <v>138</v>
      </c>
      <c r="C10" s="167" t="s">
        <v>139</v>
      </c>
      <c r="D10" s="168" t="s">
        <v>280</v>
      </c>
      <c r="E10" s="168">
        <v>-16.0</v>
      </c>
      <c r="F10" s="169">
        <v>52.4231</v>
      </c>
      <c r="G10" s="170">
        <v>838.77</v>
      </c>
      <c r="H10" s="167" t="s">
        <v>291</v>
      </c>
      <c r="I10" s="171">
        <f t="shared" ref="I10:J10" si="12">IFS(AND($B10&lt;&gt;"",$E10&lt;&gt;""),IF(INDEX(N:N,MATCH($C10,$P:$P,0),1)&lt;&gt;"",$E10*INDEX(N:N,MATCH($C10,$P:$P,0),1)+$G10,""),AND($B10&lt;&gt;"",$D10="COST",$G10&lt;0),$G10,TRUE,)</f>
        <v>-13.79</v>
      </c>
      <c r="J10" s="171">
        <f t="shared" si="12"/>
        <v>68.56545098</v>
      </c>
      <c r="K10" s="172" t="str">
        <f t="shared" si="3"/>
        <v>Vanguard S&amp;P 500 UCITS</v>
      </c>
      <c r="L10" s="173">
        <f t="shared" si="4"/>
        <v>3715</v>
      </c>
      <c r="M10" s="174">
        <f t="shared" si="5"/>
        <v>-151722.66</v>
      </c>
      <c r="N10" s="176" t="str">
        <f>IF($P10&lt;&gt;"",IF(MAXIFS(Investment!$M:$M,Investment!$H:$H,LEFT($P10,30)&amp;"*"),MAXIFS(Investment!$M:$M,Investment!$H:$H,LEFT($P10,30)&amp;"*"),),)</f>
        <v/>
      </c>
      <c r="O10" s="177" t="str">
        <f>IF($P10&lt;&gt;"",IF(MAXIFS(Investment!$AI:$AI,Investment!$H:$H,LEFT($P10,30)&amp;"*"),MAXIFS(Investment!$AI:$AI,Investment!$H:$H,LEFT($P10,30)&amp;"*"),),)</f>
        <v/>
      </c>
      <c r="P10" s="172" t="str">
        <f>IFERROR(__xludf.DUMMYFUNCTION("""COMPUTED_VALUE"""),"Vanguard Extended Duration Treasury ETF")</f>
        <v>Vanguard Extended Duration Treasury ETF</v>
      </c>
      <c r="Q10" s="173">
        <f>IFERROR(__xludf.DUMMYFUNCTION("""COMPUTED_VALUE"""),0.0)</f>
        <v>0</v>
      </c>
      <c r="R10" s="171">
        <f>IFERROR(__xludf.DUMMYFUNCTION("""COMPUTED_VALUE"""),-4857.350000000017)</f>
        <v>-4857.35</v>
      </c>
    </row>
    <row r="11">
      <c r="A11" s="165">
        <v>43773.0</v>
      </c>
      <c r="B11" s="166" t="s">
        <v>138</v>
      </c>
      <c r="C11" s="167" t="s">
        <v>139</v>
      </c>
      <c r="D11" s="168" t="s">
        <v>280</v>
      </c>
      <c r="E11" s="168">
        <v>-10.0</v>
      </c>
      <c r="F11" s="169">
        <v>52.423</v>
      </c>
      <c r="G11" s="170">
        <v>524.23</v>
      </c>
      <c r="H11" s="167" t="s">
        <v>292</v>
      </c>
      <c r="I11" s="171">
        <f t="shared" ref="I11:J11" si="13">IFS(AND($B11&lt;&gt;"",$E11&lt;&gt;""),IF(INDEX(N:N,MATCH($C11,$P:$P,0),1)&lt;&gt;"",$E11*INDEX(N:N,MATCH($C11,$P:$P,0),1)+$G11,""),AND($B11&lt;&gt;"",$D11="COST",$G11&lt;0),$G11,TRUE,)</f>
        <v>-8.62</v>
      </c>
      <c r="J11" s="171">
        <f t="shared" si="13"/>
        <v>42.85215686</v>
      </c>
      <c r="K11" s="172" t="str">
        <f t="shared" si="3"/>
        <v>Vanguard S&amp;P 500 UCITS</v>
      </c>
      <c r="L11" s="173">
        <f t="shared" si="4"/>
        <v>3715</v>
      </c>
      <c r="M11" s="174">
        <f t="shared" si="5"/>
        <v>-151722.66</v>
      </c>
      <c r="N11" s="176" t="str">
        <f>IF($P11&lt;&gt;"",IF(MAXIFS(Investment!$M:$M,Investment!$H:$H,LEFT($P11,30)&amp;"*"),MAXIFS(Investment!$M:$M,Investment!$H:$H,LEFT($P11,30)&amp;"*"),),)</f>
        <v/>
      </c>
      <c r="O11" s="177" t="str">
        <f>IF($P11&lt;&gt;"",IF(MAXIFS(Investment!$AI:$AI,Investment!$H:$H,LEFT($P11,30)&amp;"*"),MAXIFS(Investment!$AI:$AI,Investment!$H:$H,LEFT($P11,30)&amp;"*"),),)</f>
        <v/>
      </c>
      <c r="P11" s="172" t="str">
        <f>IFERROR(__xludf.DUMMYFUNCTION("""COMPUTED_VALUE"""),"iShares Gold Trust")</f>
        <v>iShares Gold Trust</v>
      </c>
      <c r="Q11" s="173">
        <f>IFERROR(__xludf.DUMMYFUNCTION("""COMPUTED_VALUE"""),0.0)</f>
        <v>0</v>
      </c>
      <c r="R11" s="171">
        <f>IFERROR(__xludf.DUMMYFUNCTION("""COMPUTED_VALUE"""),140.22999999999956)</f>
        <v>140.23</v>
      </c>
    </row>
    <row r="12">
      <c r="A12" s="165">
        <v>43773.0</v>
      </c>
      <c r="B12" s="166" t="s">
        <v>118</v>
      </c>
      <c r="C12" s="167" t="s">
        <v>120</v>
      </c>
      <c r="D12" s="168" t="s">
        <v>280</v>
      </c>
      <c r="E12" s="168">
        <v>-562.0</v>
      </c>
      <c r="F12" s="169">
        <v>7.415</v>
      </c>
      <c r="G12" s="170">
        <v>4167.23</v>
      </c>
      <c r="H12" s="167" t="s">
        <v>293</v>
      </c>
      <c r="I12" s="171">
        <f t="shared" ref="I12:J12" si="14">IFS(AND($B12&lt;&gt;"",$E12&lt;&gt;""),IF(INDEX(N:N,MATCH($C12,$P:$P,0),1)&lt;&gt;"",$E12*INDEX(N:N,MATCH($C12,$P:$P,0),1)+$G12,""),AND($B12&lt;&gt;"",$D12="COST",$G12&lt;0),$G12,TRUE,)</f>
        <v>19.67</v>
      </c>
      <c r="J12" s="171">
        <f t="shared" si="14"/>
        <v>94.41379608</v>
      </c>
      <c r="K12" s="172" t="str">
        <f t="shared" si="3"/>
        <v>ETFS All Commodities ETC</v>
      </c>
      <c r="L12" s="173">
        <f t="shared" si="4"/>
        <v>11745</v>
      </c>
      <c r="M12" s="174">
        <f t="shared" si="5"/>
        <v>-84366.02</v>
      </c>
      <c r="N12" s="176" t="str">
        <f>IF($P12&lt;&gt;"",IF(MAXIFS(Investment!$M:$M,Investment!$H:$H,LEFT($P12,30)&amp;"*"),MAXIFS(Investment!$M:$M,Investment!$H:$H,LEFT($P12,30)&amp;"*"),),)</f>
        <v/>
      </c>
      <c r="O12" s="177" t="str">
        <f>IF($P12&lt;&gt;"",IF(MAXIFS(Investment!$AI:$AI,Investment!$H:$H,LEFT($P12,30)&amp;"*"),MAXIFS(Investment!$AI:$AI,Investment!$H:$H,LEFT($P12,30)&amp;"*"),),)</f>
        <v/>
      </c>
      <c r="P12" s="172" t="str">
        <f>IFERROR(__xludf.DUMMYFUNCTION("""COMPUTED_VALUE"""),"iShares 7-10 Year Treasury Bond ETF")</f>
        <v>iShares 7-10 Year Treasury Bond ETF</v>
      </c>
      <c r="Q12" s="173">
        <f>IFERROR(__xludf.DUMMYFUNCTION("""COMPUTED_VALUE"""),0.0)</f>
        <v>0</v>
      </c>
      <c r="R12" s="171">
        <f>IFERROR(__xludf.DUMMYFUNCTION("""COMPUTED_VALUE"""),-345.82000000000244)</f>
        <v>-345.82</v>
      </c>
    </row>
    <row r="13">
      <c r="A13" s="165">
        <v>43773.0</v>
      </c>
      <c r="B13" s="166" t="s">
        <v>138</v>
      </c>
      <c r="C13" s="167" t="s">
        <v>139</v>
      </c>
      <c r="D13" s="168" t="s">
        <v>280</v>
      </c>
      <c r="E13" s="168">
        <v>-14.0</v>
      </c>
      <c r="F13" s="169">
        <v>52.365</v>
      </c>
      <c r="G13" s="170">
        <v>733.11</v>
      </c>
      <c r="H13" s="167" t="s">
        <v>294</v>
      </c>
      <c r="I13" s="171">
        <f t="shared" ref="I13:J13" si="15">IFS(AND($B13&lt;&gt;"",$E13&lt;&gt;""),IF(INDEX(N:N,MATCH($C13,$P:$P,0),1)&lt;&gt;"",$E13*INDEX(N:N,MATCH($C13,$P:$P,0),1)+$G13,""),AND($B13&lt;&gt;"",$D13="COST",$G13&lt;0),$G13,TRUE,)</f>
        <v>-12.88</v>
      </c>
      <c r="J13" s="171">
        <f t="shared" si="15"/>
        <v>59.18101961</v>
      </c>
      <c r="K13" s="172" t="str">
        <f t="shared" si="3"/>
        <v>Vanguard S&amp;P 500 UCITS</v>
      </c>
      <c r="L13" s="173">
        <f t="shared" si="4"/>
        <v>3715</v>
      </c>
      <c r="M13" s="174">
        <f t="shared" si="5"/>
        <v>-151722.66</v>
      </c>
      <c r="N13" s="176" t="str">
        <f>IF($P13&lt;&gt;"",IF(MAXIFS(Investment!$M:$M,Investment!$H:$H,LEFT($P13,30)&amp;"*"),MAXIFS(Investment!$M:$M,Investment!$H:$H,LEFT($P13,30)&amp;"*"),),)</f>
        <v/>
      </c>
      <c r="O13" s="177" t="str">
        <f>IF($P13&lt;&gt;"",IF(MAXIFS(Investment!$AI:$AI,Investment!$H:$H,LEFT($P13,30)&amp;"*"),MAXIFS(Investment!$AI:$AI,Investment!$H:$H,LEFT($P13,30)&amp;"*"),),)</f>
        <v/>
      </c>
      <c r="P13" s="172" t="str">
        <f>IFERROR(__xludf.DUMMYFUNCTION("""COMPUTED_VALUE"""),"iShares Diversified Commodity Swap UCITS ETF DE")</f>
        <v>iShares Diversified Commodity Swap UCITS ETF DE</v>
      </c>
      <c r="Q13" s="173">
        <f>IFERROR(__xludf.DUMMYFUNCTION("""COMPUTED_VALUE"""),0.0)</f>
        <v>0</v>
      </c>
      <c r="R13" s="171">
        <f>IFERROR(__xludf.DUMMYFUNCTION("""COMPUTED_VALUE"""),-296.4199999999996)</f>
        <v>-296.42</v>
      </c>
    </row>
    <row r="14">
      <c r="A14" s="165">
        <v>43773.0</v>
      </c>
      <c r="B14" s="166" t="s">
        <v>138</v>
      </c>
      <c r="C14" s="167" t="s">
        <v>139</v>
      </c>
      <c r="D14" s="168" t="s">
        <v>280</v>
      </c>
      <c r="E14" s="168">
        <v>-7.0</v>
      </c>
      <c r="F14" s="169">
        <v>52.3657</v>
      </c>
      <c r="G14" s="170">
        <v>366.56</v>
      </c>
      <c r="H14" s="167" t="s">
        <v>295</v>
      </c>
      <c r="I14" s="171">
        <f t="shared" ref="I14:J14" si="16">IFS(AND($B14&lt;&gt;"",$E14&lt;&gt;""),IF(INDEX(N:N,MATCH($C14,$P:$P,0),1)&lt;&gt;"",$E14*INDEX(N:N,MATCH($C14,$P:$P,0),1)+$G14,""),AND($B14&lt;&gt;"",$D14="COST",$G14&lt;0),$G14,TRUE,)</f>
        <v>-6.435</v>
      </c>
      <c r="J14" s="171">
        <f t="shared" si="16"/>
        <v>29.5955098</v>
      </c>
      <c r="K14" s="172" t="str">
        <f t="shared" si="3"/>
        <v>Vanguard S&amp;P 500 UCITS</v>
      </c>
      <c r="L14" s="173">
        <f t="shared" si="4"/>
        <v>3715</v>
      </c>
      <c r="M14" s="174">
        <f t="shared" si="5"/>
        <v>-151722.66</v>
      </c>
      <c r="N14" s="176" t="str">
        <f>IF($P14&lt;&gt;"",IF(MAXIFS(Investment!$M:$M,Investment!$H:$H,LEFT($P14,30)&amp;"*"),MAXIFS(Investment!$M:$M,Investment!$H:$H,LEFT($P14,30)&amp;"*"),),)</f>
        <v/>
      </c>
      <c r="O14" s="177" t="str">
        <f>IF($P14&lt;&gt;"",IF(MAXIFS(Investment!$AI:$AI,Investment!$H:$H,LEFT($P14,30)&amp;"*"),MAXIFS(Investment!$AI:$AI,Investment!$H:$H,LEFT($P14,30)&amp;"*"),),)</f>
        <v/>
      </c>
      <c r="P14" s="172" t="str">
        <f>IFERROR(__xludf.DUMMYFUNCTION("""COMPUTED_VALUE"""),"Vanguard Total Stock Market ETF")</f>
        <v>Vanguard Total Stock Market ETF</v>
      </c>
      <c r="Q14" s="173">
        <f>IFERROR(__xludf.DUMMYFUNCTION("""COMPUTED_VALUE"""),0.0)</f>
        <v>0</v>
      </c>
      <c r="R14" s="171">
        <f>IFERROR(__xludf.DUMMYFUNCTION("""COMPUTED_VALUE"""),1880.340000000002)</f>
        <v>1880.34</v>
      </c>
    </row>
    <row r="15">
      <c r="A15" s="165">
        <v>43773.0</v>
      </c>
      <c r="B15" s="166" t="s">
        <v>138</v>
      </c>
      <c r="C15" s="167" t="s">
        <v>139</v>
      </c>
      <c r="D15" s="168" t="s">
        <v>280</v>
      </c>
      <c r="E15" s="168">
        <v>-24.0</v>
      </c>
      <c r="F15" s="169">
        <v>52.28</v>
      </c>
      <c r="G15" s="170">
        <v>1254.72</v>
      </c>
      <c r="H15" s="167" t="s">
        <v>296</v>
      </c>
      <c r="I15" s="171">
        <f t="shared" ref="I15:J15" si="17">IFS(AND($B15&lt;&gt;"",$E15&lt;&gt;""),IF(INDEX(N:N,MATCH($C15,$P:$P,0),1)&lt;&gt;"",$E15*INDEX(N:N,MATCH($C15,$P:$P,0),1)+$G15,""),AND($B15&lt;&gt;"",$D15="COST",$G15&lt;0),$G15,TRUE,)</f>
        <v>-24.12</v>
      </c>
      <c r="J15" s="171">
        <f t="shared" si="17"/>
        <v>99.41317647</v>
      </c>
      <c r="K15" s="172" t="str">
        <f t="shared" si="3"/>
        <v>Vanguard S&amp;P 500 UCITS</v>
      </c>
      <c r="L15" s="173">
        <f t="shared" si="4"/>
        <v>3715</v>
      </c>
      <c r="M15" s="174">
        <f t="shared" si="5"/>
        <v>-151722.66</v>
      </c>
      <c r="N15" s="176" t="str">
        <f>IF($P15&lt;&gt;"",IF(MAXIFS(Investment!$M:$M,Investment!$H:$H,LEFT($P15,30)&amp;"*"),MAXIFS(Investment!$M:$M,Investment!$H:$H,LEFT($P15,30)&amp;"*"),),)</f>
        <v/>
      </c>
      <c r="O15" s="177" t="str">
        <f>IF($P15&lt;&gt;"",IF(MAXIFS(Investment!$AI:$AI,Investment!$H:$H,LEFT($P15,30)&amp;"*"),MAXIFS(Investment!$AI:$AI,Investment!$H:$H,LEFT($P15,30)&amp;"*"),),)</f>
        <v/>
      </c>
      <c r="P15" s="172" t="str">
        <f>IFERROR(__xludf.DUMMYFUNCTION("""COMPUTED_VALUE"""),"TOTAL GABON")</f>
        <v>TOTAL GABON</v>
      </c>
      <c r="Q15" s="173">
        <f>IFERROR(__xludf.DUMMYFUNCTION("""COMPUTED_VALUE"""),0.0)</f>
        <v>0</v>
      </c>
      <c r="R15" s="171">
        <f>IFERROR(__xludf.DUMMYFUNCTION("""COMPUTED_VALUE"""),-24138.28)</f>
        <v>-24138.28</v>
      </c>
    </row>
    <row r="16">
      <c r="A16" s="165">
        <v>43770.0</v>
      </c>
      <c r="B16" s="166"/>
      <c r="C16" s="167"/>
      <c r="D16" s="168" t="s">
        <v>299</v>
      </c>
      <c r="E16" s="168"/>
      <c r="F16" s="169"/>
      <c r="G16" s="170">
        <v>-13700.0</v>
      </c>
      <c r="H16" s="167" t="s">
        <v>300</v>
      </c>
      <c r="I16" s="171" t="str">
        <f t="shared" ref="I16:J16" si="18">IFS(AND($B16&lt;&gt;"",$E16&lt;&gt;""),IF(INDEX(N:N,MATCH($C16,$P:$P,0),1)&lt;&gt;"",$E16*INDEX(N:N,MATCH($C16,$P:$P,0),1)+$G16,""),AND($B16&lt;&gt;"",$D16="COST",$G16&lt;0),$G16,TRUE,)</f>
        <v/>
      </c>
      <c r="J16" s="171" t="str">
        <f t="shared" si="18"/>
        <v/>
      </c>
      <c r="K16" s="172" t="str">
        <f t="shared" si="3"/>
        <v/>
      </c>
      <c r="L16" s="173" t="str">
        <f t="shared" si="4"/>
        <v/>
      </c>
      <c r="M16" s="174" t="str">
        <f t="shared" si="5"/>
        <v/>
      </c>
      <c r="N16" s="176" t="str">
        <f>IF($P16&lt;&gt;"",IF(MAXIFS(Investment!$M:$M,Investment!$H:$H,LEFT($P16,30)&amp;"*"),MAXIFS(Investment!$M:$M,Investment!$H:$H,LEFT($P16,30)&amp;"*"),),)</f>
        <v/>
      </c>
      <c r="O16" s="177" t="str">
        <f>IF($P16&lt;&gt;"",IF(MAXIFS(Investment!$AI:$AI,Investment!$H:$H,LEFT($P16,30)&amp;"*"),MAXIFS(Investment!$AI:$AI,Investment!$H:$H,LEFT($P16,30)&amp;"*"),),)</f>
        <v/>
      </c>
      <c r="P16" s="172" t="str">
        <f>IFERROR(__xludf.DUMMYFUNCTION("""COMPUTED_VALUE"""),"EDF")</f>
        <v>EDF</v>
      </c>
      <c r="Q16" s="173">
        <f>IFERROR(__xludf.DUMMYFUNCTION("""COMPUTED_VALUE"""),0.0)</f>
        <v>0</v>
      </c>
      <c r="R16" s="171">
        <f>IFERROR(__xludf.DUMMYFUNCTION("""COMPUTED_VALUE"""),1451.9600000000005)</f>
        <v>1451.96</v>
      </c>
    </row>
    <row r="17">
      <c r="A17" s="165">
        <v>43769.0</v>
      </c>
      <c r="B17" s="166"/>
      <c r="C17" s="167"/>
      <c r="D17" s="168" t="s">
        <v>301</v>
      </c>
      <c r="E17" s="168"/>
      <c r="F17" s="169"/>
      <c r="G17" s="170">
        <v>-369.69</v>
      </c>
      <c r="H17" s="167" t="s">
        <v>302</v>
      </c>
      <c r="I17" s="171" t="str">
        <f t="shared" ref="I17:J17" si="19">IFS(AND($B17&lt;&gt;"",$E17&lt;&gt;""),IF(INDEX(N:N,MATCH($C17,$P:$P,0),1)&lt;&gt;"",$E17*INDEX(N:N,MATCH($C17,$P:$P,0),1)+$G17,""),AND($B17&lt;&gt;"",$D17="COST",$G17&lt;0),$G17,TRUE,)</f>
        <v/>
      </c>
      <c r="J17" s="171" t="str">
        <f t="shared" si="19"/>
        <v/>
      </c>
      <c r="K17" s="172" t="str">
        <f t="shared" si="3"/>
        <v/>
      </c>
      <c r="L17" s="173" t="str">
        <f t="shared" si="4"/>
        <v/>
      </c>
      <c r="M17" s="174" t="str">
        <f t="shared" si="5"/>
        <v/>
      </c>
      <c r="N17" s="176" t="str">
        <f>IF($P17&lt;&gt;"",IF(MAXIFS(Investment!$M:$M,Investment!$H:$H,LEFT($P17,30)&amp;"*"),MAXIFS(Investment!$M:$M,Investment!$H:$H,LEFT($P17,30)&amp;"*"),),)</f>
        <v/>
      </c>
      <c r="O17" s="177" t="str">
        <f>IF($P17&lt;&gt;"",IF(MAXIFS(Investment!$AI:$AI,Investment!$H:$H,LEFT($P17,30)&amp;"*"),MAXIFS(Investment!$AI:$AI,Investment!$H:$H,LEFT($P17,30)&amp;"*"),),)</f>
        <v/>
      </c>
      <c r="P17" s="172" t="str">
        <f>IFERROR(__xludf.DUMMYFUNCTION("""COMPUTED_VALUE"""),"BOUYGUES")</f>
        <v>BOUYGUES</v>
      </c>
      <c r="Q17" s="173">
        <f>IFERROR(__xludf.DUMMYFUNCTION("""COMPUTED_VALUE"""),0.0)</f>
        <v>0</v>
      </c>
      <c r="R17" s="171">
        <f>IFERROR(__xludf.DUMMYFUNCTION("""COMPUTED_VALUE"""),1091.52)</f>
        <v>1091.52</v>
      </c>
    </row>
    <row r="18">
      <c r="A18" s="165">
        <v>43766.0</v>
      </c>
      <c r="B18" s="166" t="s">
        <v>138</v>
      </c>
      <c r="C18" s="167" t="s">
        <v>139</v>
      </c>
      <c r="D18" s="168" t="s">
        <v>280</v>
      </c>
      <c r="E18" s="168">
        <v>-22.0</v>
      </c>
      <c r="F18" s="169">
        <v>51.85</v>
      </c>
      <c r="G18" s="170">
        <v>1140.7</v>
      </c>
      <c r="H18" s="167" t="s">
        <v>303</v>
      </c>
      <c r="I18" s="171">
        <f t="shared" ref="I18:J18" si="20">IFS(AND($B18&lt;&gt;"",$E18&lt;&gt;""),IF(INDEX(N:N,MATCH($C18,$P:$P,0),1)&lt;&gt;"",$E18*INDEX(N:N,MATCH($C18,$P:$P,0),1)+$G18,""),AND($B18&lt;&gt;"",$D18="COST",$G18&lt;0),$G18,TRUE,)</f>
        <v>-31.57</v>
      </c>
      <c r="J18" s="171">
        <f t="shared" si="20"/>
        <v>81.6687451</v>
      </c>
      <c r="K18" s="172" t="str">
        <f t="shared" si="3"/>
        <v>Vanguard S&amp;P 500 UCITS</v>
      </c>
      <c r="L18" s="173">
        <f t="shared" si="4"/>
        <v>3715</v>
      </c>
      <c r="M18" s="174">
        <f t="shared" si="5"/>
        <v>-151722.66</v>
      </c>
      <c r="N18" s="176" t="str">
        <f>IF($P18&lt;&gt;"",IF(MAXIFS(Investment!$M:$M,Investment!$H:$H,LEFT($P18,30)&amp;"*"),MAXIFS(Investment!$M:$M,Investment!$H:$H,LEFT($P18,30)&amp;"*"),),)</f>
        <v/>
      </c>
      <c r="O18" s="177" t="str">
        <f>IF($P18&lt;&gt;"",IF(MAXIFS(Investment!$AI:$AI,Investment!$H:$H,LEFT($P18,30)&amp;"*"),MAXIFS(Investment!$AI:$AI,Investment!$H:$H,LEFT($P18,30)&amp;"*"),),)</f>
        <v/>
      </c>
      <c r="P18" s="172" t="str">
        <f>IFERROR(__xludf.DUMMYFUNCTION("""COMPUTED_VALUE"""),"TECHNIP")</f>
        <v>TECHNIP</v>
      </c>
      <c r="Q18" s="173">
        <f>IFERROR(__xludf.DUMMYFUNCTION("""COMPUTED_VALUE"""),0.0)</f>
        <v>0</v>
      </c>
      <c r="R18" s="171">
        <f>IFERROR(__xludf.DUMMYFUNCTION("""COMPUTED_VALUE"""),-690.0699999999999)</f>
        <v>-690.07</v>
      </c>
    </row>
    <row r="19">
      <c r="A19" s="165">
        <v>43766.0</v>
      </c>
      <c r="B19" s="166" t="s">
        <v>138</v>
      </c>
      <c r="C19" s="167" t="s">
        <v>139</v>
      </c>
      <c r="D19" s="168" t="s">
        <v>280</v>
      </c>
      <c r="E19" s="168">
        <v>-20.0</v>
      </c>
      <c r="F19" s="169">
        <v>51.85</v>
      </c>
      <c r="G19" s="170">
        <v>1037.0</v>
      </c>
      <c r="H19" s="167" t="s">
        <v>304</v>
      </c>
      <c r="I19" s="171">
        <f t="shared" ref="I19:J19" si="21">IFS(AND($B19&lt;&gt;"",$E19&lt;&gt;""),IF(INDEX(N:N,MATCH($C19,$P:$P,0),1)&lt;&gt;"",$E19*INDEX(N:N,MATCH($C19,$P:$P,0),1)+$G19,""),AND($B19&lt;&gt;"",$D19="COST",$G19&lt;0),$G19,TRUE,)</f>
        <v>-28.7</v>
      </c>
      <c r="J19" s="171">
        <f t="shared" si="21"/>
        <v>74.24431373</v>
      </c>
      <c r="K19" s="172" t="str">
        <f t="shared" si="3"/>
        <v>Vanguard S&amp;P 500 UCITS</v>
      </c>
      <c r="L19" s="173">
        <f t="shared" si="4"/>
        <v>3715</v>
      </c>
      <c r="M19" s="174">
        <f t="shared" si="5"/>
        <v>-151722.66</v>
      </c>
      <c r="N19" s="176" t="str">
        <f>IF($P19&lt;&gt;"",IF(MAXIFS(Investment!$M:$M,Investment!$H:$H,LEFT($P19,30)&amp;"*"),MAXIFS(Investment!$M:$M,Investment!$H:$H,LEFT($P19,30)&amp;"*"),),)</f>
        <v/>
      </c>
      <c r="O19" s="177" t="str">
        <f>IF($P19&lt;&gt;"",IF(MAXIFS(Investment!$AI:$AI,Investment!$H:$H,LEFT($P19,30)&amp;"*"),MAXIFS(Investment!$AI:$AI,Investment!$H:$H,LEFT($P19,30)&amp;"*"),),)</f>
        <v/>
      </c>
      <c r="P19" s="172" t="str">
        <f>IFERROR(__xludf.DUMMYFUNCTION("""COMPUTED_VALUE"""),"STMICROELECTRONICS")</f>
        <v>STMICROELECTRONICS</v>
      </c>
      <c r="Q19" s="173">
        <f>IFERROR(__xludf.DUMMYFUNCTION("""COMPUTED_VALUE"""),0.0)</f>
        <v>0</v>
      </c>
      <c r="R19" s="171">
        <f>IFERROR(__xludf.DUMMYFUNCTION("""COMPUTED_VALUE"""),1209.7000000000044)</f>
        <v>1209.7</v>
      </c>
    </row>
    <row r="20">
      <c r="A20" s="165">
        <v>43766.0</v>
      </c>
      <c r="B20" s="166" t="s">
        <v>138</v>
      </c>
      <c r="C20" s="167" t="s">
        <v>139</v>
      </c>
      <c r="D20" s="168" t="s">
        <v>280</v>
      </c>
      <c r="E20" s="168">
        <v>-5.0</v>
      </c>
      <c r="F20" s="169">
        <v>51.85</v>
      </c>
      <c r="G20" s="170">
        <v>259.25</v>
      </c>
      <c r="H20" s="167" t="s">
        <v>305</v>
      </c>
      <c r="I20" s="171">
        <f t="shared" ref="I20:J20" si="22">IFS(AND($B20&lt;&gt;"",$E20&lt;&gt;""),IF(INDEX(N:N,MATCH($C20,$P:$P,0),1)&lt;&gt;"",$E20*INDEX(N:N,MATCH($C20,$P:$P,0),1)+$G20,""),AND($B20&lt;&gt;"",$D20="COST",$G20&lt;0),$G20,TRUE,)</f>
        <v>-7.175</v>
      </c>
      <c r="J20" s="171">
        <f t="shared" si="22"/>
        <v>18.56107843</v>
      </c>
      <c r="K20" s="172" t="str">
        <f t="shared" si="3"/>
        <v>Vanguard S&amp;P 500 UCITS</v>
      </c>
      <c r="L20" s="173">
        <f t="shared" si="4"/>
        <v>3715</v>
      </c>
      <c r="M20" s="174">
        <f t="shared" si="5"/>
        <v>-151722.66</v>
      </c>
      <c r="N20" s="176" t="str">
        <f>IF($P20&lt;&gt;"",IF(MAXIFS(Investment!$M:$M,Investment!$H:$H,LEFT($P20,30)&amp;"*"),MAXIFS(Investment!$M:$M,Investment!$H:$H,LEFT($P20,30)&amp;"*"),),)</f>
        <v/>
      </c>
      <c r="O20" s="177" t="str">
        <f>IF($P20&lt;&gt;"",IF(MAXIFS(Investment!$AI:$AI,Investment!$H:$H,LEFT($P20,30)&amp;"*"),MAXIFS(Investment!$AI:$AI,Investment!$H:$H,LEFT($P20,30)&amp;"*"),),)</f>
        <v/>
      </c>
      <c r="P20" s="172" t="str">
        <f>IFERROR(__xludf.DUMMYFUNCTION("""COMPUTED_VALUE"""),"ALSTOM REGROUPT")</f>
        <v>ALSTOM REGROUPT</v>
      </c>
      <c r="Q20" s="173">
        <f>IFERROR(__xludf.DUMMYFUNCTION("""COMPUTED_VALUE"""),0.0)</f>
        <v>0</v>
      </c>
      <c r="R20" s="171">
        <f>IFERROR(__xludf.DUMMYFUNCTION("""COMPUTED_VALUE"""),3485.4)</f>
        <v>3485.4</v>
      </c>
    </row>
    <row r="21">
      <c r="A21" s="165">
        <v>43753.0</v>
      </c>
      <c r="B21" s="166"/>
      <c r="C21" s="167"/>
      <c r="D21" s="168" t="s">
        <v>299</v>
      </c>
      <c r="E21" s="168"/>
      <c r="F21" s="169"/>
      <c r="G21" s="170">
        <v>-200.0</v>
      </c>
      <c r="H21" s="167" t="s">
        <v>306</v>
      </c>
      <c r="I21" s="171" t="str">
        <f t="shared" ref="I21:J21" si="23">IFS(AND($B21&lt;&gt;"",$E21&lt;&gt;""),IF(INDEX(N:N,MATCH($C21,$P:$P,0),1)&lt;&gt;"",$E21*INDEX(N:N,MATCH($C21,$P:$P,0),1)+$G21,""),AND($B21&lt;&gt;"",$D21="COST",$G21&lt;0),$G21,TRUE,)</f>
        <v/>
      </c>
      <c r="J21" s="171" t="str">
        <f t="shared" si="23"/>
        <v/>
      </c>
      <c r="K21" s="172" t="str">
        <f t="shared" si="3"/>
        <v/>
      </c>
      <c r="L21" s="173" t="str">
        <f t="shared" si="4"/>
        <v/>
      </c>
      <c r="M21" s="174" t="str">
        <f t="shared" si="5"/>
        <v/>
      </c>
      <c r="N21" s="176" t="str">
        <f>IF($P21&lt;&gt;"",IF(MAXIFS(Investment!$M:$M,Investment!$H:$H,LEFT($P21,30)&amp;"*"),MAXIFS(Investment!$M:$M,Investment!$H:$H,LEFT($P21,30)&amp;"*"),),)</f>
        <v/>
      </c>
      <c r="O21" s="177" t="str">
        <f>IF($P21&lt;&gt;"",IF(MAXIFS(Investment!$AI:$AI,Investment!$H:$H,LEFT($P21,30)&amp;"*"),MAXIFS(Investment!$AI:$AI,Investment!$H:$H,LEFT($P21,30)&amp;"*"),),)</f>
        <v/>
      </c>
      <c r="P21" s="172" t="str">
        <f>IFERROR(__xludf.DUMMYFUNCTION("""COMPUTED_VALUE"""),"ANF IMMOBILIER")</f>
        <v>ANF IMMOBILIER</v>
      </c>
      <c r="Q21" s="173">
        <f>IFERROR(__xludf.DUMMYFUNCTION("""COMPUTED_VALUE"""),0.0)</f>
        <v>0</v>
      </c>
      <c r="R21" s="171">
        <f>IFERROR(__xludf.DUMMYFUNCTION("""COMPUTED_VALUE"""),-5.5)</f>
        <v>-5.5</v>
      </c>
    </row>
    <row r="22">
      <c r="A22" s="165">
        <v>43747.0</v>
      </c>
      <c r="B22" s="166" t="s">
        <v>138</v>
      </c>
      <c r="C22" s="167" t="s">
        <v>139</v>
      </c>
      <c r="D22" s="168" t="s">
        <v>307</v>
      </c>
      <c r="E22" s="168"/>
      <c r="F22" s="169"/>
      <c r="G22" s="170">
        <v>902.42</v>
      </c>
      <c r="H22" s="167" t="s">
        <v>308</v>
      </c>
      <c r="I22" s="171" t="str">
        <f t="shared" ref="I22:J22" si="24">IFS(AND($B22&lt;&gt;"",$E22&lt;&gt;""),IF(INDEX(N:N,MATCH($C22,$P:$P,0),1)&lt;&gt;"",$E22*INDEX(N:N,MATCH($C22,$P:$P,0),1)+$G22,""),AND($B22&lt;&gt;"",$D22="COST",$G22&lt;0),$G22,TRUE,)</f>
        <v/>
      </c>
      <c r="J22" s="171" t="str">
        <f t="shared" si="24"/>
        <v/>
      </c>
      <c r="K22" s="172" t="str">
        <f t="shared" si="3"/>
        <v>Vanguard S&amp;P 500 UCITS</v>
      </c>
      <c r="L22" s="173">
        <f t="shared" si="4"/>
        <v>3715</v>
      </c>
      <c r="M22" s="174">
        <f t="shared" si="5"/>
        <v>-151722.66</v>
      </c>
      <c r="N22" s="176" t="str">
        <f>IF($P22&lt;&gt;"",IF(MAXIFS(Investment!$M:$M,Investment!$H:$H,LEFT($P22,30)&amp;"*"),MAXIFS(Investment!$M:$M,Investment!$H:$H,LEFT($P22,30)&amp;"*"),),)</f>
        <v/>
      </c>
      <c r="O22" s="177" t="str">
        <f>IF($P22&lt;&gt;"",IF(MAXIFS(Investment!$AI:$AI,Investment!$H:$H,LEFT($P22,30)&amp;"*"),MAXIFS(Investment!$AI:$AI,Investment!$H:$H,LEFT($P22,30)&amp;"*"),),)</f>
        <v/>
      </c>
      <c r="P22" s="172" t="str">
        <f>IFERROR(__xludf.DUMMYFUNCTION("""COMPUTED_VALUE"""),"SANOFI")</f>
        <v>SANOFI</v>
      </c>
      <c r="Q22" s="173">
        <f>IFERROR(__xludf.DUMMYFUNCTION("""COMPUTED_VALUE"""),0.0)</f>
        <v>0</v>
      </c>
      <c r="R22" s="171">
        <f>IFERROR(__xludf.DUMMYFUNCTION("""COMPUTED_VALUE"""),-32.189999999999955)</f>
        <v>-32.19</v>
      </c>
    </row>
    <row r="23">
      <c r="A23" s="165">
        <v>43747.0</v>
      </c>
      <c r="B23" s="166" t="s">
        <v>138</v>
      </c>
      <c r="C23" s="167" t="s">
        <v>139</v>
      </c>
      <c r="D23" s="168" t="s">
        <v>307</v>
      </c>
      <c r="E23" s="168"/>
      <c r="F23" s="169"/>
      <c r="G23" s="170">
        <v>-80.78</v>
      </c>
      <c r="H23" s="167" t="s">
        <v>311</v>
      </c>
      <c r="I23" s="171" t="str">
        <f t="shared" ref="I23:J23" si="25">IFS(AND($B23&lt;&gt;"",$E23&lt;&gt;""),IF(INDEX(N:N,MATCH($C23,$P:$P,0),1)&lt;&gt;"",$E23*INDEX(N:N,MATCH($C23,$P:$P,0),1)+$G23,""),AND($B23&lt;&gt;"",$D23="COST",$G23&lt;0),$G23,TRUE,)</f>
        <v/>
      </c>
      <c r="J23" s="171" t="str">
        <f t="shared" si="25"/>
        <v/>
      </c>
      <c r="K23" s="172" t="str">
        <f t="shared" si="3"/>
        <v>Vanguard S&amp;P 500 UCITS</v>
      </c>
      <c r="L23" s="173">
        <f t="shared" si="4"/>
        <v>3715</v>
      </c>
      <c r="M23" s="174">
        <f t="shared" si="5"/>
        <v>-151722.66</v>
      </c>
      <c r="N23" s="176" t="str">
        <f>IF($P23&lt;&gt;"",IF(MAXIFS(Investment!$M:$M,Investment!$H:$H,LEFT($P23,30)&amp;"*"),MAXIFS(Investment!$M:$M,Investment!$H:$H,LEFT($P23,30)&amp;"*"),),)</f>
        <v/>
      </c>
      <c r="O23" s="177" t="str">
        <f>IF($P23&lt;&gt;"",IF(MAXIFS(Investment!$AI:$AI,Investment!$H:$H,LEFT($P23,30)&amp;"*"),MAXIFS(Investment!$AI:$AI,Investment!$H:$H,LEFT($P23,30)&amp;"*"),),)</f>
        <v/>
      </c>
      <c r="P23" s="172" t="str">
        <f>IFERROR(__xludf.DUMMYFUNCTION("""COMPUTED_VALUE"""),"UNIBAIL RODAMCO SE")</f>
        <v>UNIBAIL RODAMCO SE</v>
      </c>
      <c r="Q23" s="173">
        <f>IFERROR(__xludf.DUMMYFUNCTION("""COMPUTED_VALUE"""),0.0)</f>
        <v>0</v>
      </c>
      <c r="R23" s="171">
        <f>IFERROR(__xludf.DUMMYFUNCTION("""COMPUTED_VALUE"""),107.69999999999986)</f>
        <v>107.7</v>
      </c>
    </row>
    <row r="24">
      <c r="A24" s="165">
        <v>43739.0</v>
      </c>
      <c r="B24" s="166"/>
      <c r="C24" s="167"/>
      <c r="D24" s="168" t="s">
        <v>299</v>
      </c>
      <c r="E24" s="168"/>
      <c r="F24" s="169"/>
      <c r="G24" s="170">
        <v>-400.0</v>
      </c>
      <c r="H24" s="167" t="s">
        <v>312</v>
      </c>
      <c r="I24" s="171" t="str">
        <f t="shared" ref="I24:J24" si="26">IFS(AND($B24&lt;&gt;"",$E24&lt;&gt;""),IF(INDEX(N:N,MATCH($C24,$P:$P,0),1)&lt;&gt;"",$E24*INDEX(N:N,MATCH($C24,$P:$P,0),1)+$G24,""),AND($B24&lt;&gt;"",$D24="COST",$G24&lt;0),$G24,TRUE,)</f>
        <v/>
      </c>
      <c r="J24" s="171" t="str">
        <f t="shared" si="26"/>
        <v/>
      </c>
      <c r="K24" s="172" t="str">
        <f t="shared" si="3"/>
        <v/>
      </c>
      <c r="L24" s="173" t="str">
        <f t="shared" si="4"/>
        <v/>
      </c>
      <c r="M24" s="174" t="str">
        <f t="shared" si="5"/>
        <v/>
      </c>
      <c r="N24" s="176" t="str">
        <f>IF($P24&lt;&gt;"",IF(MAXIFS(Investment!$M:$M,Investment!$H:$H,LEFT($P24,30)&amp;"*"),MAXIFS(Investment!$M:$M,Investment!$H:$H,LEFT($P24,30)&amp;"*"),),)</f>
        <v/>
      </c>
      <c r="O24" s="177" t="str">
        <f>IF($P24&lt;&gt;"",IF(MAXIFS(Investment!$AI:$AI,Investment!$H:$H,LEFT($P24,30)&amp;"*"),MAXIFS(Investment!$AI:$AI,Investment!$H:$H,LEFT($P24,30)&amp;"*"),),)</f>
        <v/>
      </c>
      <c r="P24" s="172" t="str">
        <f>IFERROR(__xludf.DUMMYFUNCTION("""COMPUTED_VALUE"""),"ORANGE")</f>
        <v>ORANGE</v>
      </c>
      <c r="Q24" s="173">
        <f>IFERROR(__xludf.DUMMYFUNCTION("""COMPUTED_VALUE"""),0.0)</f>
        <v>0</v>
      </c>
      <c r="R24" s="171">
        <f>IFERROR(__xludf.DUMMYFUNCTION("""COMPUTED_VALUE"""),-68.11999999999989)</f>
        <v>-68.12</v>
      </c>
    </row>
    <row r="25">
      <c r="A25" s="165">
        <v>43738.0</v>
      </c>
      <c r="B25" s="166"/>
      <c r="C25" s="167"/>
      <c r="D25" s="168" t="s">
        <v>301</v>
      </c>
      <c r="E25" s="168"/>
      <c r="F25" s="169"/>
      <c r="G25" s="170">
        <v>-369.3</v>
      </c>
      <c r="H25" s="167" t="s">
        <v>313</v>
      </c>
      <c r="I25" s="171" t="str">
        <f t="shared" ref="I25:J25" si="27">IFS(AND($B25&lt;&gt;"",$E25&lt;&gt;""),IF(INDEX(N:N,MATCH($C25,$P:$P,0),1)&lt;&gt;"",$E25*INDEX(N:N,MATCH($C25,$P:$P,0),1)+$G25,""),AND($B25&lt;&gt;"",$D25="COST",$G25&lt;0),$G25,TRUE,)</f>
        <v/>
      </c>
      <c r="J25" s="171" t="str">
        <f t="shared" si="27"/>
        <v/>
      </c>
      <c r="K25" s="172" t="str">
        <f t="shared" si="3"/>
        <v/>
      </c>
      <c r="L25" s="173" t="str">
        <f t="shared" si="4"/>
        <v/>
      </c>
      <c r="M25" s="174" t="str">
        <f t="shared" si="5"/>
        <v/>
      </c>
      <c r="N25" s="176" t="str">
        <f>IF($P25&lt;&gt;"",IF(MAXIFS(Investment!$M:$M,Investment!$H:$H,LEFT($P25,30)&amp;"*"),MAXIFS(Investment!$M:$M,Investment!$H:$H,LEFT($P25,30)&amp;"*"),),)</f>
        <v/>
      </c>
      <c r="O25" s="177" t="str">
        <f>IF($P25&lt;&gt;"",IF(MAXIFS(Investment!$AI:$AI,Investment!$H:$H,LEFT($P25,30)&amp;"*"),MAXIFS(Investment!$AI:$AI,Investment!$H:$H,LEFT($P25,30)&amp;"*"),),)</f>
        <v/>
      </c>
      <c r="P25" s="172" t="str">
        <f>IFERROR(__xludf.DUMMYFUNCTION("""COMPUTED_VALUE"""),"GDF SUEZ")</f>
        <v>GDF SUEZ</v>
      </c>
      <c r="Q25" s="173">
        <f>IFERROR(__xludf.DUMMYFUNCTION("""COMPUTED_VALUE"""),0.0)</f>
        <v>0</v>
      </c>
      <c r="R25" s="171">
        <f>IFERROR(__xludf.DUMMYFUNCTION("""COMPUTED_VALUE"""),123.37000000000012)</f>
        <v>123.37</v>
      </c>
    </row>
    <row r="26">
      <c r="A26" s="165">
        <v>43732.0</v>
      </c>
      <c r="B26" s="166" t="s">
        <v>122</v>
      </c>
      <c r="C26" s="167" t="s">
        <v>123</v>
      </c>
      <c r="D26" s="168" t="s">
        <v>280</v>
      </c>
      <c r="E26" s="168">
        <v>-8.0</v>
      </c>
      <c r="F26" s="169">
        <v>131.96</v>
      </c>
      <c r="G26" s="170">
        <v>1055.68</v>
      </c>
      <c r="H26" s="167" t="s">
        <v>314</v>
      </c>
      <c r="I26" s="171">
        <f t="shared" ref="I26:J26" si="28">IFS(AND($B26&lt;&gt;"",$E26&lt;&gt;""),IF(INDEX(N:N,MATCH($C26,$P:$P,0),1)&lt;&gt;"",$E26*INDEX(N:N,MATCH($C26,$P:$P,0),1)+$G26,""),AND($B26&lt;&gt;"",$D26="COST",$G26&lt;0),$G26,TRUE,)</f>
        <v>50.72</v>
      </c>
      <c r="J26" s="171">
        <f t="shared" si="28"/>
        <v>128.4304314</v>
      </c>
      <c r="K26" s="172" t="str">
        <f t="shared" si="3"/>
        <v>ETFS Physical Gold</v>
      </c>
      <c r="L26" s="173">
        <f t="shared" si="4"/>
        <v>353</v>
      </c>
      <c r="M26" s="174">
        <f t="shared" si="5"/>
        <v>-33586.49</v>
      </c>
      <c r="N26" s="176" t="str">
        <f>IF($P26&lt;&gt;"",IF(MAXIFS(Investment!$M:$M,Investment!$H:$H,LEFT($P26,30)&amp;"*"),MAXIFS(Investment!$M:$M,Investment!$H:$H,LEFT($P26,30)&amp;"*"),),)</f>
        <v/>
      </c>
      <c r="O26" s="177" t="str">
        <f>IF($P26&lt;&gt;"",IF(MAXIFS(Investment!$AI:$AI,Investment!$H:$H,LEFT($P26,30)&amp;"*"),MAXIFS(Investment!$AI:$AI,Investment!$H:$H,LEFT($P26,30)&amp;"*"),),)</f>
        <v/>
      </c>
      <c r="P26" s="172" t="str">
        <f>IFERROR(__xludf.DUMMYFUNCTION("""COMPUTED_VALUE"""),"ABC ARBITRAGE")</f>
        <v>ABC ARBITRAGE</v>
      </c>
      <c r="Q26" s="173">
        <f>IFERROR(__xludf.DUMMYFUNCTION("""COMPUTED_VALUE"""),0.0)</f>
        <v>0</v>
      </c>
      <c r="R26" s="171">
        <f>IFERROR(__xludf.DUMMYFUNCTION("""COMPUTED_VALUE"""),217.05999999999995)</f>
        <v>217.06</v>
      </c>
    </row>
    <row r="27">
      <c r="A27" s="165">
        <v>43728.0</v>
      </c>
      <c r="B27" s="166" t="s">
        <v>138</v>
      </c>
      <c r="C27" s="167" t="s">
        <v>139</v>
      </c>
      <c r="D27" s="168" t="s">
        <v>280</v>
      </c>
      <c r="E27" s="168">
        <v>-36.0</v>
      </c>
      <c r="F27" s="169">
        <v>52.035</v>
      </c>
      <c r="G27" s="170">
        <v>1873.26</v>
      </c>
      <c r="H27" s="167" t="s">
        <v>315</v>
      </c>
      <c r="I27" s="171">
        <f t="shared" ref="I27:J27" si="29">IFS(AND($B27&lt;&gt;"",$E27&lt;&gt;""),IF(INDEX(N:N,MATCH($C27,$P:$P,0),1)&lt;&gt;"",$E27*INDEX(N:N,MATCH($C27,$P:$P,0),1)+$G27,""),AND($B27&lt;&gt;"",$D27="COST",$G27&lt;0),$G27,TRUE,)</f>
        <v>-45</v>
      </c>
      <c r="J27" s="171">
        <f t="shared" si="29"/>
        <v>140.2997647</v>
      </c>
      <c r="K27" s="172" t="str">
        <f t="shared" si="3"/>
        <v>Vanguard S&amp;P 500 UCITS</v>
      </c>
      <c r="L27" s="173">
        <f t="shared" si="4"/>
        <v>3715</v>
      </c>
      <c r="M27" s="174">
        <f t="shared" si="5"/>
        <v>-151722.66</v>
      </c>
      <c r="N27" s="176" t="str">
        <f>IF($P27&lt;&gt;"",IF(MAXIFS(Investment!$M:$M,Investment!$H:$H,LEFT($P27,30)&amp;"*"),MAXIFS(Investment!$M:$M,Investment!$H:$H,LEFT($P27,30)&amp;"*"),),)</f>
        <v/>
      </c>
      <c r="O27" s="177" t="str">
        <f>IF($P27&lt;&gt;"",IF(MAXIFS(Investment!$AI:$AI,Investment!$H:$H,LEFT($P27,30)&amp;"*"),MAXIFS(Investment!$AI:$AI,Investment!$H:$H,LEFT($P27,30)&amp;"*"),),)</f>
        <v/>
      </c>
      <c r="P27" s="172" t="str">
        <f>IFERROR(__xludf.DUMMYFUNCTION("""COMPUTED_VALUE"""),"TOTAL SA")</f>
        <v>TOTAL SA</v>
      </c>
      <c r="Q27" s="173">
        <f>IFERROR(__xludf.DUMMYFUNCTION("""COMPUTED_VALUE"""),0.0)</f>
        <v>0</v>
      </c>
      <c r="R27" s="171">
        <f>IFERROR(__xludf.DUMMYFUNCTION("""COMPUTED_VALUE"""),137.90999999999985)</f>
        <v>137.91</v>
      </c>
    </row>
    <row r="28">
      <c r="A28" s="165">
        <v>43724.0</v>
      </c>
      <c r="B28" s="166" t="s">
        <v>127</v>
      </c>
      <c r="C28" s="167" t="s">
        <v>132</v>
      </c>
      <c r="D28" s="168" t="s">
        <v>307</v>
      </c>
      <c r="E28" s="168"/>
      <c r="F28" s="169"/>
      <c r="G28" s="170">
        <v>-10.37</v>
      </c>
      <c r="H28" s="167" t="s">
        <v>316</v>
      </c>
      <c r="I28" s="171" t="str">
        <f t="shared" ref="I28:J28" si="30">IFS(AND($B28&lt;&gt;"",$E28&lt;&gt;""),IF(INDEX(N:N,MATCH($C28,$P:$P,0),1)&lt;&gt;"",$E28*INDEX(N:N,MATCH($C28,$P:$P,0),1)+$G28,""),AND($B28&lt;&gt;"",$D28="COST",$G28&lt;0),$G28,TRUE,)</f>
        <v/>
      </c>
      <c r="J28" s="171" t="str">
        <f t="shared" si="30"/>
        <v/>
      </c>
      <c r="K28" s="172" t="str">
        <f t="shared" si="3"/>
        <v>Vanguard Intermediate-Term Treasury ETF</v>
      </c>
      <c r="L28" s="173">
        <f t="shared" si="4"/>
        <v>0</v>
      </c>
      <c r="M28" s="174">
        <f t="shared" si="5"/>
        <v>-1799.24</v>
      </c>
      <c r="N28" s="176" t="str">
        <f>IF($P28&lt;&gt;"",IF(MAXIFS(Investment!$M:$M,Investment!$H:$H,LEFT($P28,30)&amp;"*"),MAXIFS(Investment!$M:$M,Investment!$H:$H,LEFT($P28,30)&amp;"*"),),)</f>
        <v/>
      </c>
      <c r="O28" s="177" t="str">
        <f>IF($P28&lt;&gt;"",IF(MAXIFS(Investment!$AI:$AI,Investment!$H:$H,LEFT($P28,30)&amp;"*"),MAXIFS(Investment!$AI:$AI,Investment!$H:$H,LEFT($P28,30)&amp;"*"),),)</f>
        <v/>
      </c>
      <c r="P28" s="172" t="str">
        <f>IFERROR(__xludf.DUMMYFUNCTION("""COMPUTED_VALUE"""),"FRANCE TELECOM")</f>
        <v>FRANCE TELECOM</v>
      </c>
      <c r="Q28" s="173">
        <f>IFERROR(__xludf.DUMMYFUNCTION("""COMPUTED_VALUE"""),0.0)</f>
        <v>0</v>
      </c>
      <c r="R28" s="171">
        <f>IFERROR(__xludf.DUMMYFUNCTION("""COMPUTED_VALUE"""),1049.8199999999997)</f>
        <v>1049.82</v>
      </c>
    </row>
    <row r="29">
      <c r="A29" s="165">
        <v>43724.0</v>
      </c>
      <c r="B29" s="166" t="s">
        <v>118</v>
      </c>
      <c r="C29" s="167" t="s">
        <v>120</v>
      </c>
      <c r="D29" s="168" t="s">
        <v>280</v>
      </c>
      <c r="E29" s="168">
        <v>-692.0</v>
      </c>
      <c r="F29" s="169">
        <v>7.5</v>
      </c>
      <c r="G29" s="170">
        <v>5190.0</v>
      </c>
      <c r="H29" s="167" t="s">
        <v>317</v>
      </c>
      <c r="I29" s="171">
        <f t="shared" ref="I29:J29" si="31">IFS(AND($B29&lt;&gt;"",$E29&lt;&gt;""),IF(INDEX(N:N,MATCH($C29,$P:$P,0),1)&lt;&gt;"",$E29*INDEX(N:N,MATCH($C29,$P:$P,0),1)+$G29,""),AND($B29&lt;&gt;"",$D29="COST",$G29&lt;0),$G29,TRUE,)</f>
        <v>83.04</v>
      </c>
      <c r="J29" s="171">
        <f t="shared" si="31"/>
        <v>175.0732863</v>
      </c>
      <c r="K29" s="172" t="str">
        <f t="shared" si="3"/>
        <v>ETFS All Commodities ETC</v>
      </c>
      <c r="L29" s="173">
        <f t="shared" si="4"/>
        <v>11745</v>
      </c>
      <c r="M29" s="174">
        <f t="shared" si="5"/>
        <v>-84366.02</v>
      </c>
      <c r="N29" s="176" t="str">
        <f>IF($P29&lt;&gt;"",IF(MAXIFS(Investment!$M:$M,Investment!$H:$H,LEFT($P29,30)&amp;"*"),MAXIFS(Investment!$M:$M,Investment!$H:$H,LEFT($P29,30)&amp;"*"),),)</f>
        <v/>
      </c>
      <c r="O29" s="177" t="str">
        <f>IF($P29&lt;&gt;"",IF(MAXIFS(Investment!$AI:$AI,Investment!$H:$H,LEFT($P29,30)&amp;"*"),MAXIFS(Investment!$AI:$AI,Investment!$H:$H,LEFT($P29,30)&amp;"*"),),)</f>
        <v/>
      </c>
      <c r="P29" s="172" t="str">
        <f>IFERROR(__xludf.DUMMYFUNCTION("""COMPUTED_VALUE"""),"VIVENDI")</f>
        <v>VIVENDI</v>
      </c>
      <c r="Q29" s="173">
        <f>IFERROR(__xludf.DUMMYFUNCTION("""COMPUTED_VALUE"""),0.0)</f>
        <v>0</v>
      </c>
      <c r="R29" s="171">
        <f>IFERROR(__xludf.DUMMYFUNCTION("""COMPUTED_VALUE"""),460.3100000000004)</f>
        <v>460.31</v>
      </c>
    </row>
    <row r="30">
      <c r="A30" s="165">
        <v>43724.0</v>
      </c>
      <c r="B30" s="166" t="s">
        <v>118</v>
      </c>
      <c r="C30" s="167" t="s">
        <v>120</v>
      </c>
      <c r="D30" s="168" t="s">
        <v>301</v>
      </c>
      <c r="E30" s="168"/>
      <c r="F30" s="169"/>
      <c r="G30" s="170">
        <v>-3.04</v>
      </c>
      <c r="H30" s="167" t="s">
        <v>318</v>
      </c>
      <c r="I30" s="171">
        <f t="shared" ref="I30:J30" si="32">IFS(AND($B30&lt;&gt;"",$E30&lt;&gt;""),IF(INDEX(N:N,MATCH($C30,$P:$P,0),1)&lt;&gt;"",$E30*INDEX(N:N,MATCH($C30,$P:$P,0),1)+$G30,""),AND($B30&lt;&gt;"",$D30="COST",$G30&lt;0),$G30,TRUE,)</f>
        <v>-3.04</v>
      </c>
      <c r="J30" s="171">
        <f t="shared" si="32"/>
        <v>-3.04</v>
      </c>
      <c r="K30" s="172" t="str">
        <f t="shared" si="3"/>
        <v>ETFS All Commodities ETC</v>
      </c>
      <c r="L30" s="173">
        <f t="shared" si="4"/>
        <v>11745</v>
      </c>
      <c r="M30" s="174">
        <f t="shared" si="5"/>
        <v>-84366.02</v>
      </c>
      <c r="N30" s="176" t="str">
        <f>IF($P30&lt;&gt;"",IF(MAXIFS(Investment!$M:$M,Investment!$H:$H,LEFT($P30,30)&amp;"*"),MAXIFS(Investment!$M:$M,Investment!$H:$H,LEFT($P30,30)&amp;"*"),),)</f>
        <v/>
      </c>
      <c r="O30" s="177" t="str">
        <f>IF($P30&lt;&gt;"",IF(MAXIFS(Investment!$AI:$AI,Investment!$H:$H,LEFT($P30,30)&amp;"*"),MAXIFS(Investment!$AI:$AI,Investment!$H:$H,LEFT($P30,30)&amp;"*"),),)</f>
        <v/>
      </c>
      <c r="P30" s="172" t="str">
        <f>IFERROR(__xludf.DUMMYFUNCTION("""COMPUTED_VALUE"""),"PEUGEOT")</f>
        <v>PEUGEOT</v>
      </c>
      <c r="Q30" s="173">
        <f>IFERROR(__xludf.DUMMYFUNCTION("""COMPUTED_VALUE"""),0.0)</f>
        <v>0</v>
      </c>
      <c r="R30" s="171">
        <f>IFERROR(__xludf.DUMMYFUNCTION("""COMPUTED_VALUE"""),-532.01)</f>
        <v>-532.01</v>
      </c>
    </row>
    <row r="31">
      <c r="A31" s="165">
        <v>43724.0</v>
      </c>
      <c r="B31" s="166" t="s">
        <v>118</v>
      </c>
      <c r="C31" s="167" t="s">
        <v>120</v>
      </c>
      <c r="D31" s="168" t="s">
        <v>280</v>
      </c>
      <c r="E31" s="168">
        <v>-1247.0</v>
      </c>
      <c r="F31" s="169">
        <v>7.425</v>
      </c>
      <c r="G31" s="170">
        <v>9258.98</v>
      </c>
      <c r="H31" s="167" t="s">
        <v>321</v>
      </c>
      <c r="I31" s="171">
        <f t="shared" ref="I31:J31" si="33">IFS(AND($B31&lt;&gt;"",$E31&lt;&gt;""),IF(INDEX(N:N,MATCH($C31,$P:$P,0),1)&lt;&gt;"",$E31*INDEX(N:N,MATCH($C31,$P:$P,0),1)+$G31,""),AND($B31&lt;&gt;"",$D31="COST",$G31&lt;0),$G31,TRUE,)</f>
        <v>56.12</v>
      </c>
      <c r="J31" s="171">
        <f t="shared" si="33"/>
        <v>221.9661098</v>
      </c>
      <c r="K31" s="172" t="str">
        <f t="shared" si="3"/>
        <v>ETFS All Commodities ETC</v>
      </c>
      <c r="L31" s="173">
        <f t="shared" si="4"/>
        <v>11745</v>
      </c>
      <c r="M31" s="174">
        <f t="shared" si="5"/>
        <v>-84366.02</v>
      </c>
      <c r="N31" s="176" t="str">
        <f>IF($P31&lt;&gt;"",IF(MAXIFS(Investment!$M:$M,Investment!$H:$H,LEFT($P31,30)&amp;"*"),MAXIFS(Investment!$M:$M,Investment!$H:$H,LEFT($P31,30)&amp;"*"),),)</f>
        <v/>
      </c>
      <c r="O31" s="177" t="str">
        <f>IF($P31&lt;&gt;"",IF(MAXIFS(Investment!$AI:$AI,Investment!$H:$H,LEFT($P31,30)&amp;"*"),MAXIFS(Investment!$AI:$AI,Investment!$H:$H,LEFT($P31,30)&amp;"*"),),)</f>
        <v/>
      </c>
      <c r="P31" s="172" t="str">
        <f>IFERROR(__xludf.DUMMYFUNCTION("""COMPUTED_VALUE"""),"CREDIT AGRICOLE")</f>
        <v>CREDIT AGRICOLE</v>
      </c>
      <c r="Q31" s="173">
        <f>IFERROR(__xludf.DUMMYFUNCTION("""COMPUTED_VALUE"""),0.0)</f>
        <v>0</v>
      </c>
      <c r="R31" s="171">
        <f>IFERROR(__xludf.DUMMYFUNCTION("""COMPUTED_VALUE"""),173.19000000000005)</f>
        <v>173.19</v>
      </c>
    </row>
    <row r="32">
      <c r="A32" s="165">
        <v>43724.0</v>
      </c>
      <c r="B32" s="166" t="s">
        <v>118</v>
      </c>
      <c r="C32" s="167" t="s">
        <v>120</v>
      </c>
      <c r="D32" s="168" t="s">
        <v>301</v>
      </c>
      <c r="E32" s="168"/>
      <c r="F32" s="169"/>
      <c r="G32" s="170">
        <v>-3.85</v>
      </c>
      <c r="H32" s="167" t="s">
        <v>322</v>
      </c>
      <c r="I32" s="171">
        <f t="shared" ref="I32:J32" si="34">IFS(AND($B32&lt;&gt;"",$E32&lt;&gt;""),IF(INDEX(N:N,MATCH($C32,$P:$P,0),1)&lt;&gt;"",$E32*INDEX(N:N,MATCH($C32,$P:$P,0),1)+$G32,""),AND($B32&lt;&gt;"",$D32="COST",$G32&lt;0),$G32,TRUE,)</f>
        <v>-3.85</v>
      </c>
      <c r="J32" s="171">
        <f t="shared" si="34"/>
        <v>-3.85</v>
      </c>
      <c r="K32" s="172" t="str">
        <f t="shared" si="3"/>
        <v>ETFS All Commodities ETC</v>
      </c>
      <c r="L32" s="173">
        <f t="shared" si="4"/>
        <v>11745</v>
      </c>
      <c r="M32" s="174">
        <f t="shared" si="5"/>
        <v>-84366.02</v>
      </c>
      <c r="N32" s="176" t="str">
        <f>IF($P32&lt;&gt;"",IF(MAXIFS(Investment!$M:$M,Investment!$H:$H,LEFT($P32,30)&amp;"*"),MAXIFS(Investment!$M:$M,Investment!$H:$H,LEFT($P32,30)&amp;"*"),),)</f>
        <v/>
      </c>
      <c r="O32" s="177" t="str">
        <f>IF($P32&lt;&gt;"",IF(MAXIFS(Investment!$AI:$AI,Investment!$H:$H,LEFT($P32,30)&amp;"*"),MAXIFS(Investment!$AI:$AI,Investment!$H:$H,LEFT($P32,30)&amp;"*"),),)</f>
        <v/>
      </c>
      <c r="P32" s="172" t="str">
        <f>IFERROR(__xludf.DUMMYFUNCTION("""COMPUTED_VALUE"""),"VEOLIA ENVIRON")</f>
        <v>VEOLIA ENVIRON</v>
      </c>
      <c r="Q32" s="173">
        <f>IFERROR(__xludf.DUMMYFUNCTION("""COMPUTED_VALUE"""),0.0)</f>
        <v>0</v>
      </c>
      <c r="R32" s="171">
        <f>IFERROR(__xludf.DUMMYFUNCTION("""COMPUTED_VALUE"""),401.0100000000002)</f>
        <v>401.01</v>
      </c>
    </row>
    <row r="33">
      <c r="A33" s="165">
        <v>43721.0</v>
      </c>
      <c r="B33" s="166" t="s">
        <v>138</v>
      </c>
      <c r="C33" s="167" t="s">
        <v>139</v>
      </c>
      <c r="D33" s="168" t="s">
        <v>280</v>
      </c>
      <c r="E33" s="168">
        <v>-38.0</v>
      </c>
      <c r="F33" s="169">
        <v>51.78</v>
      </c>
      <c r="G33" s="170">
        <v>1967.64</v>
      </c>
      <c r="H33" s="167" t="s">
        <v>323</v>
      </c>
      <c r="I33" s="171">
        <f t="shared" ref="I33:J33" si="35">IFS(AND($B33&lt;&gt;"",$E33&lt;&gt;""),IF(INDEX(N:N,MATCH($C33,$P:$P,0),1)&lt;&gt;"",$E33*INDEX(N:N,MATCH($C33,$P:$P,0),1)+$G33,""),AND($B33&lt;&gt;"",$D33="COST",$G33&lt;0),$G33,TRUE,)</f>
        <v>-57.19</v>
      </c>
      <c r="J33" s="171">
        <f t="shared" si="35"/>
        <v>138.4041961</v>
      </c>
      <c r="K33" s="172" t="str">
        <f t="shared" si="3"/>
        <v>Vanguard S&amp;P 500 UCITS</v>
      </c>
      <c r="L33" s="173">
        <f t="shared" si="4"/>
        <v>3715</v>
      </c>
      <c r="M33" s="174">
        <f t="shared" si="5"/>
        <v>-151722.66</v>
      </c>
      <c r="N33" s="176" t="str">
        <f>IF($P33&lt;&gt;"",IF(MAXIFS(Investment!$M:$M,Investment!$H:$H,LEFT($P33,30)&amp;"*"),MAXIFS(Investment!$M:$M,Investment!$H:$H,LEFT($P33,30)&amp;"*"),),)</f>
        <v/>
      </c>
      <c r="O33" s="177" t="str">
        <f>IF($P33&lt;&gt;"",IF(MAXIFS(Investment!$AI:$AI,Investment!$H:$H,LEFT($P33,30)&amp;"*"),MAXIFS(Investment!$AI:$AI,Investment!$H:$H,LEFT($P33,30)&amp;"*"),),)</f>
        <v/>
      </c>
      <c r="P33" s="172"/>
      <c r="Q33" s="173"/>
      <c r="R33" s="171"/>
    </row>
    <row r="34">
      <c r="A34" s="165">
        <v>43721.0</v>
      </c>
      <c r="B34" s="166" t="s">
        <v>138</v>
      </c>
      <c r="C34" s="167" t="s">
        <v>139</v>
      </c>
      <c r="D34" s="168" t="s">
        <v>280</v>
      </c>
      <c r="E34" s="168">
        <v>-59.0</v>
      </c>
      <c r="F34" s="169">
        <v>51.7631</v>
      </c>
      <c r="G34" s="170">
        <v>3054.02</v>
      </c>
      <c r="H34" s="167" t="s">
        <v>324</v>
      </c>
      <c r="I34" s="171">
        <f t="shared" ref="I34:J34" si="36">IFS(AND($B34&lt;&gt;"",$E34&lt;&gt;""),IF(INDEX(N:N,MATCH($C34,$P:$P,0),1)&lt;&gt;"",$E34*INDEX(N:N,MATCH($C34,$P:$P,0),1)+$G34,""),AND($B34&lt;&gt;"",$D34="COST",$G34&lt;0),$G34,TRUE,)</f>
        <v>-89.795</v>
      </c>
      <c r="J34" s="171">
        <f t="shared" si="36"/>
        <v>213.8907255</v>
      </c>
      <c r="K34" s="172" t="str">
        <f t="shared" si="3"/>
        <v>Vanguard S&amp;P 500 UCITS</v>
      </c>
      <c r="L34" s="173">
        <f t="shared" si="4"/>
        <v>3715</v>
      </c>
      <c r="M34" s="174">
        <f t="shared" si="5"/>
        <v>-151722.66</v>
      </c>
      <c r="N34" s="176" t="str">
        <f>IF($P34&lt;&gt;"",IF(MAXIFS(Investment!$M:$M,Investment!$H:$H,LEFT($P34,30)&amp;"*"),MAXIFS(Investment!$M:$M,Investment!$H:$H,LEFT($P34,30)&amp;"*"),),)</f>
        <v/>
      </c>
      <c r="O34" s="177" t="str">
        <f>IF($P34&lt;&gt;"",IF(MAXIFS(Investment!$AI:$AI,Investment!$H:$H,LEFT($P34,30)&amp;"*"),MAXIFS(Investment!$AI:$AI,Investment!$H:$H,LEFT($P34,30)&amp;"*"),),)</f>
        <v/>
      </c>
      <c r="P34" s="172"/>
      <c r="Q34" s="173"/>
      <c r="R34" s="171"/>
    </row>
    <row r="35">
      <c r="A35" s="165">
        <v>43718.0</v>
      </c>
      <c r="B35" s="166"/>
      <c r="C35" s="167"/>
      <c r="D35" s="168" t="s">
        <v>299</v>
      </c>
      <c r="E35" s="168"/>
      <c r="F35" s="169"/>
      <c r="G35" s="170">
        <v>-300.0</v>
      </c>
      <c r="H35" s="167" t="s">
        <v>325</v>
      </c>
      <c r="I35" s="171" t="str">
        <f t="shared" ref="I35:J35" si="37">IFS(AND($B35&lt;&gt;"",$E35&lt;&gt;""),IF(INDEX(N:N,MATCH($C35,$P:$P,0),1)&lt;&gt;"",$E35*INDEX(N:N,MATCH($C35,$P:$P,0),1)+$G35,""),AND($B35&lt;&gt;"",$D35="COST",$G35&lt;0),$G35,TRUE,)</f>
        <v/>
      </c>
      <c r="J35" s="171" t="str">
        <f t="shared" si="37"/>
        <v/>
      </c>
      <c r="K35" s="172" t="str">
        <f t="shared" si="3"/>
        <v/>
      </c>
      <c r="L35" s="173" t="str">
        <f t="shared" si="4"/>
        <v/>
      </c>
      <c r="M35" s="174" t="str">
        <f t="shared" si="5"/>
        <v/>
      </c>
      <c r="N35" s="176" t="str">
        <f>IF($P35&lt;&gt;"",IF(MAXIFS(Investment!$M:$M,Investment!$H:$H,LEFT($P35,30)&amp;"*"),MAXIFS(Investment!$M:$M,Investment!$H:$H,LEFT($P35,30)&amp;"*"),),)</f>
        <v/>
      </c>
      <c r="O35" s="177" t="str">
        <f>IF($P35&lt;&gt;"",IF(MAXIFS(Investment!$AI:$AI,Investment!$H:$H,LEFT($P35,30)&amp;"*"),MAXIFS(Investment!$AI:$AI,Investment!$H:$H,LEFT($P35,30)&amp;"*"),),)</f>
        <v/>
      </c>
      <c r="P35" s="172"/>
      <c r="Q35" s="173"/>
      <c r="R35" s="171"/>
    </row>
    <row r="36">
      <c r="A36" s="165">
        <v>43718.0</v>
      </c>
      <c r="B36" s="166"/>
      <c r="C36" s="167"/>
      <c r="D36" s="168" t="s">
        <v>299</v>
      </c>
      <c r="E36" s="168"/>
      <c r="F36" s="169"/>
      <c r="G36" s="170">
        <v>-100.0</v>
      </c>
      <c r="H36" s="167" t="s">
        <v>326</v>
      </c>
      <c r="I36" s="171" t="str">
        <f t="shared" ref="I36:J36" si="38">IFS(AND($B36&lt;&gt;"",$E36&lt;&gt;""),IF(INDEX(N:N,MATCH($C36,$P:$P,0),1)&lt;&gt;"",$E36*INDEX(N:N,MATCH($C36,$P:$P,0),1)+$G36,""),AND($B36&lt;&gt;"",$D36="COST",$G36&lt;0),$G36,TRUE,)</f>
        <v/>
      </c>
      <c r="J36" s="171" t="str">
        <f t="shared" si="38"/>
        <v/>
      </c>
      <c r="K36" s="172" t="str">
        <f t="shared" si="3"/>
        <v/>
      </c>
      <c r="L36" s="173" t="str">
        <f t="shared" si="4"/>
        <v/>
      </c>
      <c r="M36" s="174" t="str">
        <f t="shared" si="5"/>
        <v/>
      </c>
      <c r="N36" s="176" t="str">
        <f>IF($P36&lt;&gt;"",IF(MAXIFS(Investment!$M:$M,Investment!$H:$H,LEFT($P36,30)&amp;"*"),MAXIFS(Investment!$M:$M,Investment!$H:$H,LEFT($P36,30)&amp;"*"),),)</f>
        <v/>
      </c>
      <c r="O36" s="177" t="str">
        <f>IF($P36&lt;&gt;"",IF(MAXIFS(Investment!$AI:$AI,Investment!$H:$H,LEFT($P36,30)&amp;"*"),MAXIFS(Investment!$AI:$AI,Investment!$H:$H,LEFT($P36,30)&amp;"*"),),)</f>
        <v/>
      </c>
      <c r="P36" s="172"/>
      <c r="Q36" s="173"/>
      <c r="R36" s="171"/>
    </row>
    <row r="37">
      <c r="A37" s="165">
        <v>43714.0</v>
      </c>
      <c r="B37" s="166"/>
      <c r="C37" s="167"/>
      <c r="D37" s="168" t="s">
        <v>299</v>
      </c>
      <c r="E37" s="168"/>
      <c r="F37" s="169"/>
      <c r="G37" s="170">
        <v>-0.1</v>
      </c>
      <c r="H37" s="167" t="s">
        <v>328</v>
      </c>
      <c r="I37" s="171" t="str">
        <f t="shared" ref="I37:J37" si="39">IFS(AND($B37&lt;&gt;"",$E37&lt;&gt;""),IF(INDEX(N:N,MATCH($C37,$P:$P,0),1)&lt;&gt;"",$E37*INDEX(N:N,MATCH($C37,$P:$P,0),1)+$G37,""),AND($B37&lt;&gt;"",$D37="COST",$G37&lt;0),$G37,TRUE,)</f>
        <v/>
      </c>
      <c r="J37" s="171" t="str">
        <f t="shared" si="39"/>
        <v/>
      </c>
      <c r="K37" s="172" t="str">
        <f t="shared" si="3"/>
        <v/>
      </c>
      <c r="L37" s="173" t="str">
        <f t="shared" si="4"/>
        <v/>
      </c>
      <c r="M37" s="174" t="str">
        <f t="shared" si="5"/>
        <v/>
      </c>
      <c r="N37" s="176" t="str">
        <f>IF($P37&lt;&gt;"",IF(MAXIFS(Investment!$M:$M,Investment!$H:$H,LEFT($P37,30)&amp;"*"),MAXIFS(Investment!$M:$M,Investment!$H:$H,LEFT($P37,30)&amp;"*"),),)</f>
        <v/>
      </c>
      <c r="O37" s="177" t="str">
        <f>IF($P37&lt;&gt;"",IF(MAXIFS(Investment!$AI:$AI,Investment!$H:$H,LEFT($P37,30)&amp;"*"),MAXIFS(Investment!$AI:$AI,Investment!$H:$H,LEFT($P37,30)&amp;"*"),),)</f>
        <v/>
      </c>
      <c r="P37" s="172"/>
      <c r="Q37" s="173"/>
      <c r="R37" s="171"/>
    </row>
    <row r="38">
      <c r="A38" s="165">
        <v>43714.0</v>
      </c>
      <c r="B38" s="166" t="s">
        <v>138</v>
      </c>
      <c r="C38" s="167" t="s">
        <v>139</v>
      </c>
      <c r="D38" s="168" t="s">
        <v>280</v>
      </c>
      <c r="E38" s="168">
        <v>-21.0</v>
      </c>
      <c r="F38" s="169">
        <v>51.45</v>
      </c>
      <c r="G38" s="170">
        <v>1080.45</v>
      </c>
      <c r="H38" s="167" t="s">
        <v>329</v>
      </c>
      <c r="I38" s="171">
        <f t="shared" ref="I38:J38" si="40">IFS(AND($B38&lt;&gt;"",$E38&lt;&gt;""),IF(INDEX(N:N,MATCH($C38,$P:$P,0),1)&lt;&gt;"",$E38*INDEX(N:N,MATCH($C38,$P:$P,0),1)+$G38,""),AND($B38&lt;&gt;"",$D38="COST",$G38&lt;0),$G38,TRUE,)</f>
        <v>-38.535</v>
      </c>
      <c r="J38" s="171">
        <f t="shared" si="40"/>
        <v>69.55652941</v>
      </c>
      <c r="K38" s="172" t="str">
        <f t="shared" si="3"/>
        <v>Vanguard S&amp;P 500 UCITS</v>
      </c>
      <c r="L38" s="173">
        <f t="shared" si="4"/>
        <v>3715</v>
      </c>
      <c r="M38" s="174">
        <f t="shared" si="5"/>
        <v>-151722.66</v>
      </c>
      <c r="N38" s="176" t="str">
        <f>IF($P38&lt;&gt;"",IF(MAXIFS(Investment!$M:$M,Investment!$H:$H,LEFT($P38,30)&amp;"*"),MAXIFS(Investment!$M:$M,Investment!$H:$H,LEFT($P38,30)&amp;"*"),),)</f>
        <v/>
      </c>
      <c r="O38" s="177" t="str">
        <f>IF($P38&lt;&gt;"",IF(MAXIFS(Investment!$AI:$AI,Investment!$H:$H,LEFT($P38,30)&amp;"*"),MAXIFS(Investment!$AI:$AI,Investment!$H:$H,LEFT($P38,30)&amp;"*"),),)</f>
        <v/>
      </c>
      <c r="P38" s="172"/>
      <c r="Q38" s="173"/>
      <c r="R38" s="171"/>
    </row>
    <row r="39">
      <c r="A39" s="165">
        <v>43714.0</v>
      </c>
      <c r="B39" s="166" t="s">
        <v>138</v>
      </c>
      <c r="C39" s="167" t="s">
        <v>139</v>
      </c>
      <c r="D39" s="168" t="s">
        <v>280</v>
      </c>
      <c r="E39" s="168">
        <v>-43.0</v>
      </c>
      <c r="F39" s="169">
        <v>51.417</v>
      </c>
      <c r="G39" s="170">
        <v>2210.93</v>
      </c>
      <c r="H39" s="167" t="s">
        <v>330</v>
      </c>
      <c r="I39" s="171">
        <f t="shared" ref="I39:J39" si="41">IFS(AND($B39&lt;&gt;"",$E39&lt;&gt;""),IF(INDEX(N:N,MATCH($C39,$P:$P,0),1)&lt;&gt;"",$E39*INDEX(N:N,MATCH($C39,$P:$P,0),1)+$G39,""),AND($B39&lt;&gt;"",$D39="COST",$G39&lt;0),$G39,TRUE,)</f>
        <v>-80.325</v>
      </c>
      <c r="J39" s="171">
        <f t="shared" si="41"/>
        <v>141.0052745</v>
      </c>
      <c r="K39" s="172" t="str">
        <f t="shared" si="3"/>
        <v>Vanguard S&amp;P 500 UCITS</v>
      </c>
      <c r="L39" s="173">
        <f t="shared" si="4"/>
        <v>3715</v>
      </c>
      <c r="M39" s="174">
        <f t="shared" si="5"/>
        <v>-151722.66</v>
      </c>
      <c r="N39" s="176" t="str">
        <f>IF($P39&lt;&gt;"",IF(MAXIFS(Investment!$M:$M,Investment!$H:$H,LEFT($P39,30)&amp;"*"),MAXIFS(Investment!$M:$M,Investment!$H:$H,LEFT($P39,30)&amp;"*"),),)</f>
        <v/>
      </c>
      <c r="O39" s="177" t="str">
        <f>IF($P39&lt;&gt;"",IF(MAXIFS(Investment!$AI:$AI,Investment!$H:$H,LEFT($P39,30)&amp;"*"),MAXIFS(Investment!$AI:$AI,Investment!$H:$H,LEFT($P39,30)&amp;"*"),),)</f>
        <v/>
      </c>
      <c r="P39" s="172"/>
      <c r="Q39" s="173"/>
      <c r="R39" s="171"/>
    </row>
    <row r="40">
      <c r="A40" s="165">
        <v>43713.0</v>
      </c>
      <c r="B40" s="166"/>
      <c r="C40" s="167"/>
      <c r="D40" s="168" t="s">
        <v>299</v>
      </c>
      <c r="E40" s="168"/>
      <c r="F40" s="169"/>
      <c r="G40" s="170">
        <v>0.1</v>
      </c>
      <c r="H40" s="167" t="s">
        <v>331</v>
      </c>
      <c r="I40" s="171" t="str">
        <f t="shared" ref="I40:J40" si="42">IFS(AND($B40&lt;&gt;"",$E40&lt;&gt;""),IF(INDEX(N:N,MATCH($C40,$P:$P,0),1)&lt;&gt;"",$E40*INDEX(N:N,MATCH($C40,$P:$P,0),1)+$G40,""),AND($B40&lt;&gt;"",$D40="COST",$G40&lt;0),$G40,TRUE,)</f>
        <v/>
      </c>
      <c r="J40" s="171" t="str">
        <f t="shared" si="42"/>
        <v/>
      </c>
      <c r="K40" s="172" t="str">
        <f t="shared" si="3"/>
        <v/>
      </c>
      <c r="L40" s="173" t="str">
        <f t="shared" si="4"/>
        <v/>
      </c>
      <c r="M40" s="174" t="str">
        <f t="shared" si="5"/>
        <v/>
      </c>
      <c r="N40" s="176" t="str">
        <f>IF($P40&lt;&gt;"",IF(MAXIFS(Investment!$M:$M,Investment!$H:$H,LEFT($P40,30)&amp;"*"),MAXIFS(Investment!$M:$M,Investment!$H:$H,LEFT($P40,30)&amp;"*"),),)</f>
        <v/>
      </c>
      <c r="O40" s="177" t="str">
        <f>IF($P40&lt;&gt;"",IF(MAXIFS(Investment!$AI:$AI,Investment!$H:$H,LEFT($P40,30)&amp;"*"),MAXIFS(Investment!$AI:$AI,Investment!$H:$H,LEFT($P40,30)&amp;"*"),),)</f>
        <v/>
      </c>
      <c r="P40" s="172"/>
      <c r="Q40" s="173"/>
      <c r="R40" s="171"/>
    </row>
    <row r="41">
      <c r="A41" s="165">
        <v>43712.0</v>
      </c>
      <c r="B41" s="166"/>
      <c r="C41" s="167"/>
      <c r="D41" s="168" t="s">
        <v>299</v>
      </c>
      <c r="E41" s="168"/>
      <c r="F41" s="169"/>
      <c r="G41" s="170">
        <v>-100.0</v>
      </c>
      <c r="H41" s="167" t="s">
        <v>326</v>
      </c>
      <c r="I41" s="171" t="str">
        <f t="shared" ref="I41:J41" si="43">IFS(AND($B41&lt;&gt;"",$E41&lt;&gt;""),IF(INDEX(N:N,MATCH($C41,$P:$P,0),1)&lt;&gt;"",$E41*INDEX(N:N,MATCH($C41,$P:$P,0),1)+$G41,""),AND($B41&lt;&gt;"",$D41="COST",$G41&lt;0),$G41,TRUE,)</f>
        <v/>
      </c>
      <c r="J41" s="171" t="str">
        <f t="shared" si="43"/>
        <v/>
      </c>
      <c r="K41" s="172" t="str">
        <f t="shared" si="3"/>
        <v/>
      </c>
      <c r="L41" s="173" t="str">
        <f t="shared" si="4"/>
        <v/>
      </c>
      <c r="M41" s="174" t="str">
        <f t="shared" si="5"/>
        <v/>
      </c>
      <c r="N41" s="176" t="str">
        <f>IF($P41&lt;&gt;"",IF(MAXIFS(Investment!$M:$M,Investment!$H:$H,LEFT($P41,30)&amp;"*"),MAXIFS(Investment!$M:$M,Investment!$H:$H,LEFT($P41,30)&amp;"*"),),)</f>
        <v/>
      </c>
      <c r="O41" s="177" t="str">
        <f>IF($P41&lt;&gt;"",IF(MAXIFS(Investment!$AI:$AI,Investment!$H:$H,LEFT($P41,30)&amp;"*"),MAXIFS(Investment!$AI:$AI,Investment!$H:$H,LEFT($P41,30)&amp;"*"),),)</f>
        <v/>
      </c>
      <c r="P41" s="172"/>
      <c r="Q41" s="173"/>
      <c r="R41" s="171"/>
    </row>
    <row r="42">
      <c r="A42" s="165">
        <v>43711.0</v>
      </c>
      <c r="B42" s="166" t="s">
        <v>118</v>
      </c>
      <c r="C42" s="167" t="s">
        <v>120</v>
      </c>
      <c r="D42" s="168" t="s">
        <v>332</v>
      </c>
      <c r="E42" s="168">
        <v>223.0</v>
      </c>
      <c r="F42" s="169">
        <v>7.165</v>
      </c>
      <c r="G42" s="170">
        <v>-1597.8</v>
      </c>
      <c r="H42" s="167" t="s">
        <v>333</v>
      </c>
      <c r="I42" s="171">
        <f t="shared" ref="I42:J42" si="44">IFS(AND($B42&lt;&gt;"",$E42&lt;&gt;""),IF(INDEX(N:N,MATCH($C42,$P:$P,0),1)&lt;&gt;"",$E42*INDEX(N:N,MATCH($C42,$P:$P,0),1)+$G42,""),AND($B42&lt;&gt;"",$D42="COST",$G42&lt;0),$G42,TRUE,)</f>
        <v>47.94</v>
      </c>
      <c r="J42" s="171">
        <f t="shared" si="44"/>
        <v>18.28187451</v>
      </c>
      <c r="K42" s="172" t="str">
        <f t="shared" si="3"/>
        <v>ETFS All Commodities ETC</v>
      </c>
      <c r="L42" s="173">
        <f t="shared" si="4"/>
        <v>11745</v>
      </c>
      <c r="M42" s="174">
        <f t="shared" si="5"/>
        <v>-84366.02</v>
      </c>
      <c r="N42" s="176" t="str">
        <f>IF($P42&lt;&gt;"",IF(MAXIFS(Investment!$M:$M,Investment!$H:$H,LEFT($P42,30)&amp;"*"),MAXIFS(Investment!$M:$M,Investment!$H:$H,LEFT($P42,30)&amp;"*"),),)</f>
        <v/>
      </c>
      <c r="O42" s="177" t="str">
        <f>IF($P42&lt;&gt;"",IF(MAXIFS(Investment!$AI:$AI,Investment!$H:$H,LEFT($P42,30)&amp;"*"),MAXIFS(Investment!$AI:$AI,Investment!$H:$H,LEFT($P42,30)&amp;"*"),),)</f>
        <v/>
      </c>
      <c r="P42" s="172"/>
      <c r="Q42" s="173"/>
      <c r="R42" s="171"/>
    </row>
    <row r="43">
      <c r="A43" s="165">
        <v>43710.0</v>
      </c>
      <c r="B43" s="166" t="s">
        <v>118</v>
      </c>
      <c r="C43" s="167" t="s">
        <v>120</v>
      </c>
      <c r="D43" s="168" t="s">
        <v>332</v>
      </c>
      <c r="E43" s="168">
        <v>213.0</v>
      </c>
      <c r="F43" s="169">
        <v>7.2</v>
      </c>
      <c r="G43" s="170">
        <v>-1533.6</v>
      </c>
      <c r="H43" s="167" t="s">
        <v>334</v>
      </c>
      <c r="I43" s="171">
        <f t="shared" ref="I43:J43" si="45">IFS(AND($B43&lt;&gt;"",$E43&lt;&gt;""),IF(INDEX(N:N,MATCH($C43,$P:$P,0),1)&lt;&gt;"",$E43*INDEX(N:N,MATCH($C43,$P:$P,0),1)+$G43,""),AND($B43&lt;&gt;"",$D43="COST",$G43&lt;0),$G43,TRUE,)</f>
        <v>38.34</v>
      </c>
      <c r="J43" s="171">
        <f t="shared" si="45"/>
        <v>10.01183529</v>
      </c>
      <c r="K43" s="172" t="str">
        <f t="shared" si="3"/>
        <v>ETFS All Commodities ETC</v>
      </c>
      <c r="L43" s="173">
        <f t="shared" si="4"/>
        <v>11745</v>
      </c>
      <c r="M43" s="174">
        <f t="shared" si="5"/>
        <v>-84366.02</v>
      </c>
      <c r="N43" s="176" t="str">
        <f>IF($P43&lt;&gt;"",IF(MAXIFS(Investment!$M:$M,Investment!$H:$H,LEFT($P43,30)&amp;"*"),MAXIFS(Investment!$M:$M,Investment!$H:$H,LEFT($P43,30)&amp;"*"),),)</f>
        <v/>
      </c>
      <c r="O43" s="177" t="str">
        <f>IF($P43&lt;&gt;"",IF(MAXIFS(Investment!$AI:$AI,Investment!$H:$H,LEFT($P43,30)&amp;"*"),MAXIFS(Investment!$AI:$AI,Investment!$H:$H,LEFT($P43,30)&amp;"*"),),)</f>
        <v/>
      </c>
      <c r="P43" s="172"/>
      <c r="Q43" s="173"/>
      <c r="R43" s="171"/>
    </row>
    <row r="44">
      <c r="A44" s="165">
        <v>43708.0</v>
      </c>
      <c r="B44" s="166"/>
      <c r="C44" s="167"/>
      <c r="D44" s="168" t="s">
        <v>301</v>
      </c>
      <c r="E44" s="168"/>
      <c r="F44" s="169"/>
      <c r="G44" s="170">
        <v>-461.31</v>
      </c>
      <c r="H44" s="167" t="s">
        <v>335</v>
      </c>
      <c r="I44" s="171" t="str">
        <f t="shared" ref="I44:J44" si="46">IFS(AND($B44&lt;&gt;"",$E44&lt;&gt;""),IF(INDEX(N:N,MATCH($C44,$P:$P,0),1)&lt;&gt;"",$E44*INDEX(N:N,MATCH($C44,$P:$P,0),1)+$G44,""),AND($B44&lt;&gt;"",$D44="COST",$G44&lt;0),$G44,TRUE,)</f>
        <v/>
      </c>
      <c r="J44" s="171" t="str">
        <f t="shared" si="46"/>
        <v/>
      </c>
      <c r="K44" s="172" t="str">
        <f t="shared" si="3"/>
        <v/>
      </c>
      <c r="L44" s="173" t="str">
        <f t="shared" si="4"/>
        <v/>
      </c>
      <c r="M44" s="174" t="str">
        <f t="shared" si="5"/>
        <v/>
      </c>
      <c r="N44" s="176" t="str">
        <f>IF($P44&lt;&gt;"",IF(MAXIFS(Investment!$M:$M,Investment!$H:$H,LEFT($P44,30)&amp;"*"),MAXIFS(Investment!$M:$M,Investment!$H:$H,LEFT($P44,30)&amp;"*"),),)</f>
        <v/>
      </c>
      <c r="O44" s="177" t="str">
        <f>IF($P44&lt;&gt;"",IF(MAXIFS(Investment!$AI:$AI,Investment!$H:$H,LEFT($P44,30)&amp;"*"),MAXIFS(Investment!$AI:$AI,Investment!$H:$H,LEFT($P44,30)&amp;"*"),),)</f>
        <v/>
      </c>
      <c r="P44" s="172"/>
      <c r="Q44" s="173"/>
      <c r="R44" s="171"/>
    </row>
    <row r="45">
      <c r="A45" s="165">
        <v>43703.0</v>
      </c>
      <c r="B45" s="166" t="s">
        <v>122</v>
      </c>
      <c r="C45" s="167" t="s">
        <v>123</v>
      </c>
      <c r="D45" s="168" t="s">
        <v>280</v>
      </c>
      <c r="E45" s="168">
        <v>-8.0</v>
      </c>
      <c r="F45" s="169">
        <v>131.5</v>
      </c>
      <c r="G45" s="170">
        <v>1052.0</v>
      </c>
      <c r="H45" s="167" t="s">
        <v>341</v>
      </c>
      <c r="I45" s="171">
        <f t="shared" ref="I45:J45" si="47">IFS(AND($B45&lt;&gt;"",$E45&lt;&gt;""),IF(INDEX(N:N,MATCH($C45,$P:$P,0),1)&lt;&gt;"",$E45*INDEX(N:N,MATCH($C45,$P:$P,0),1)+$G45,""),AND($B45&lt;&gt;"",$D45="COST",$G45&lt;0),$G45,TRUE,)</f>
        <v>47.04</v>
      </c>
      <c r="J45" s="171">
        <f t="shared" si="47"/>
        <v>124.7504314</v>
      </c>
      <c r="K45" s="172" t="str">
        <f t="shared" si="3"/>
        <v>ETFS Physical Gold</v>
      </c>
      <c r="L45" s="173">
        <f t="shared" si="4"/>
        <v>353</v>
      </c>
      <c r="M45" s="174">
        <f t="shared" si="5"/>
        <v>-33586.49</v>
      </c>
      <c r="N45" s="176" t="str">
        <f>IF($P45&lt;&gt;"",IF(MAXIFS(Investment!$M:$M,Investment!$H:$H,LEFT($P45,30)&amp;"*"),MAXIFS(Investment!$M:$M,Investment!$H:$H,LEFT($P45,30)&amp;"*"),),)</f>
        <v/>
      </c>
      <c r="O45" s="177" t="str">
        <f>IF($P45&lt;&gt;"",IF(MAXIFS(Investment!$AI:$AI,Investment!$H:$H,LEFT($P45,30)&amp;"*"),MAXIFS(Investment!$AI:$AI,Investment!$H:$H,LEFT($P45,30)&amp;"*"),),)</f>
        <v/>
      </c>
      <c r="P45" s="172"/>
      <c r="Q45" s="173"/>
      <c r="R45" s="171"/>
    </row>
    <row r="46">
      <c r="A46" s="165">
        <v>43701.0</v>
      </c>
      <c r="B46" s="166"/>
      <c r="C46" s="167"/>
      <c r="D46" s="168" t="s">
        <v>299</v>
      </c>
      <c r="E46" s="168"/>
      <c r="F46" s="169"/>
      <c r="G46" s="170">
        <v>-1000.0</v>
      </c>
      <c r="H46" s="167" t="s">
        <v>342</v>
      </c>
      <c r="I46" s="171" t="str">
        <f t="shared" ref="I46:J46" si="48">IFS(AND($B46&lt;&gt;"",$E46&lt;&gt;""),IF(INDEX(N:N,MATCH($C46,$P:$P,0),1)&lt;&gt;"",$E46*INDEX(N:N,MATCH($C46,$P:$P,0),1)+$G46,""),AND($B46&lt;&gt;"",$D46="COST",$G46&lt;0),$G46,TRUE,)</f>
        <v/>
      </c>
      <c r="J46" s="171" t="str">
        <f t="shared" si="48"/>
        <v/>
      </c>
      <c r="K46" s="172" t="str">
        <f t="shared" si="3"/>
        <v/>
      </c>
      <c r="L46" s="173" t="str">
        <f t="shared" si="4"/>
        <v/>
      </c>
      <c r="M46" s="174" t="str">
        <f t="shared" si="5"/>
        <v/>
      </c>
      <c r="N46" s="176" t="str">
        <f>IF($P46&lt;&gt;"",IF(MAXIFS(Investment!$M:$M,Investment!$H:$H,LEFT($P46,30)&amp;"*"),MAXIFS(Investment!$M:$M,Investment!$H:$H,LEFT($P46,30)&amp;"*"),),)</f>
        <v/>
      </c>
      <c r="O46" s="177" t="str">
        <f>IF($P46&lt;&gt;"",IF(MAXIFS(Investment!$AI:$AI,Investment!$H:$H,LEFT($P46,30)&amp;"*"),MAXIFS(Investment!$AI:$AI,Investment!$H:$H,LEFT($P46,30)&amp;"*"),),)</f>
        <v/>
      </c>
      <c r="P46" s="172"/>
      <c r="Q46" s="173"/>
      <c r="R46" s="171"/>
    </row>
    <row r="47">
      <c r="A47" s="165">
        <v>43697.0</v>
      </c>
      <c r="B47" s="166" t="s">
        <v>138</v>
      </c>
      <c r="C47" s="167" t="s">
        <v>139</v>
      </c>
      <c r="D47" s="168" t="s">
        <v>280</v>
      </c>
      <c r="E47" s="168">
        <v>-32.0</v>
      </c>
      <c r="F47" s="169">
        <v>50.17</v>
      </c>
      <c r="G47" s="170">
        <v>1605.44</v>
      </c>
      <c r="H47" s="167" t="s">
        <v>343</v>
      </c>
      <c r="I47" s="171">
        <f t="shared" ref="I47:J47" si="49">IFS(AND($B47&lt;&gt;"",$E47&lt;&gt;""),IF(INDEX(N:N,MATCH($C47,$P:$P,0),1)&lt;&gt;"",$E47*INDEX(N:N,MATCH($C47,$P:$P,0),1)+$G47,""),AND($B47&lt;&gt;"",$D47="COST",$G47&lt;0),$G47,TRUE,)</f>
        <v>-99.68</v>
      </c>
      <c r="J47" s="171">
        <f t="shared" si="49"/>
        <v>65.03090196</v>
      </c>
      <c r="K47" s="172" t="str">
        <f t="shared" si="3"/>
        <v>Vanguard S&amp;P 500 UCITS</v>
      </c>
      <c r="L47" s="173">
        <f t="shared" si="4"/>
        <v>3715</v>
      </c>
      <c r="M47" s="174">
        <f t="shared" si="5"/>
        <v>-151722.66</v>
      </c>
      <c r="N47" s="176" t="str">
        <f>IF($P47&lt;&gt;"",IF(MAXIFS(Investment!$M:$M,Investment!$H:$H,LEFT($P47,30)&amp;"*"),MAXIFS(Investment!$M:$M,Investment!$H:$H,LEFT($P47,30)&amp;"*"),),)</f>
        <v/>
      </c>
      <c r="O47" s="177" t="str">
        <f>IF($P47&lt;&gt;"",IF(MAXIFS(Investment!$AI:$AI,Investment!$H:$H,LEFT($P47,30)&amp;"*"),MAXIFS(Investment!$AI:$AI,Investment!$H:$H,LEFT($P47,30)&amp;"*"),),)</f>
        <v/>
      </c>
      <c r="P47" s="172"/>
      <c r="Q47" s="173"/>
      <c r="R47" s="171"/>
    </row>
    <row r="48">
      <c r="A48" s="165">
        <v>43693.0</v>
      </c>
      <c r="B48" s="166" t="s">
        <v>127</v>
      </c>
      <c r="C48" s="167" t="s">
        <v>128</v>
      </c>
      <c r="D48" s="168" t="s">
        <v>280</v>
      </c>
      <c r="E48" s="168">
        <v>-6.0</v>
      </c>
      <c r="F48" s="169">
        <v>189.0</v>
      </c>
      <c r="G48" s="170">
        <v>1134.0</v>
      </c>
      <c r="H48" s="167" t="s">
        <v>344</v>
      </c>
      <c r="I48" s="171">
        <f t="shared" ref="I48:J48" si="50">IFS(AND($B48&lt;&gt;"",$E48&lt;&gt;""),IF(INDEX(N:N,MATCH($C48,$P:$P,0),1)&lt;&gt;"",$E48*INDEX(N:N,MATCH($C48,$P:$P,0),1)+$G48,""),AND($B48&lt;&gt;"",$D48="COST",$G48&lt;0),$G48,TRUE,)</f>
        <v>22.38</v>
      </c>
      <c r="J48" s="171">
        <f t="shared" si="50"/>
        <v>73.24729412</v>
      </c>
      <c r="K48" s="172" t="str">
        <f t="shared" si="3"/>
        <v>iShares Treasury Bond 7-10 UCITS</v>
      </c>
      <c r="L48" s="173">
        <f t="shared" si="4"/>
        <v>547</v>
      </c>
      <c r="M48" s="174">
        <f t="shared" si="5"/>
        <v>-81771.76</v>
      </c>
      <c r="N48" s="176" t="str">
        <f>IF($P48&lt;&gt;"",IF(MAXIFS(Investment!$M:$M,Investment!$H:$H,LEFT($P48,30)&amp;"*"),MAXIFS(Investment!$M:$M,Investment!$H:$H,LEFT($P48,30)&amp;"*"),),)</f>
        <v/>
      </c>
      <c r="O48" s="177" t="str">
        <f>IF($P48&lt;&gt;"",IF(MAXIFS(Investment!$AI:$AI,Investment!$H:$H,LEFT($P48,30)&amp;"*"),MAXIFS(Investment!$AI:$AI,Investment!$H:$H,LEFT($P48,30)&amp;"*"),),)</f>
        <v/>
      </c>
      <c r="P48" s="172"/>
      <c r="Q48" s="173"/>
      <c r="R48" s="171"/>
    </row>
    <row r="49">
      <c r="A49" s="165">
        <v>43693.0</v>
      </c>
      <c r="B49" s="166" t="s">
        <v>127</v>
      </c>
      <c r="C49" s="167" t="s">
        <v>128</v>
      </c>
      <c r="D49" s="168" t="s">
        <v>280</v>
      </c>
      <c r="E49" s="168">
        <v>-6.0</v>
      </c>
      <c r="F49" s="169">
        <v>188.75</v>
      </c>
      <c r="G49" s="170">
        <v>1132.5</v>
      </c>
      <c r="H49" s="167" t="s">
        <v>345</v>
      </c>
      <c r="I49" s="171">
        <f t="shared" ref="I49:J49" si="51">IFS(AND($B49&lt;&gt;"",$E49&lt;&gt;""),IF(INDEX(N:N,MATCH($C49,$P:$P,0),1)&lt;&gt;"",$E49*INDEX(N:N,MATCH($C49,$P:$P,0),1)+$G49,""),AND($B49&lt;&gt;"",$D49="COST",$G49&lt;0),$G49,TRUE,)</f>
        <v>20.88</v>
      </c>
      <c r="J49" s="171">
        <f t="shared" si="51"/>
        <v>71.74729412</v>
      </c>
      <c r="K49" s="172" t="str">
        <f t="shared" si="3"/>
        <v>iShares Treasury Bond 7-10 UCITS</v>
      </c>
      <c r="L49" s="173">
        <f t="shared" si="4"/>
        <v>547</v>
      </c>
      <c r="M49" s="174">
        <f t="shared" si="5"/>
        <v>-81771.76</v>
      </c>
      <c r="N49" s="176" t="str">
        <f>IF($P49&lt;&gt;"",IF(MAXIFS(Investment!$M:$M,Investment!$H:$H,LEFT($P49,30)&amp;"*"),MAXIFS(Investment!$M:$M,Investment!$H:$H,LEFT($P49,30)&amp;"*"),),)</f>
        <v/>
      </c>
      <c r="O49" s="177" t="str">
        <f>IF($P49&lt;&gt;"",IF(MAXIFS(Investment!$AI:$AI,Investment!$H:$H,LEFT($P49,30)&amp;"*"),MAXIFS(Investment!$AI:$AI,Investment!$H:$H,LEFT($P49,30)&amp;"*"),),)</f>
        <v/>
      </c>
      <c r="P49" s="172"/>
      <c r="Q49" s="173"/>
      <c r="R49" s="171"/>
    </row>
    <row r="50">
      <c r="A50" s="165">
        <v>43692.0</v>
      </c>
      <c r="B50" s="166" t="s">
        <v>134</v>
      </c>
      <c r="C50" s="167" t="s">
        <v>135</v>
      </c>
      <c r="D50" s="168" t="s">
        <v>280</v>
      </c>
      <c r="E50" s="168">
        <v>-152.0</v>
      </c>
      <c r="F50" s="169">
        <v>4.95</v>
      </c>
      <c r="G50" s="170">
        <v>752.4</v>
      </c>
      <c r="H50" s="167" t="s">
        <v>346</v>
      </c>
      <c r="I50" s="171">
        <f t="shared" ref="I50:J50" si="52">IFS(AND($B50&lt;&gt;"",$E50&lt;&gt;""),IF(INDEX(N:N,MATCH($C50,$P:$P,0),1)&lt;&gt;"",$E50*INDEX(N:N,MATCH($C50,$P:$P,0),1)+$G50,""),AND($B50&lt;&gt;"",$D50="COST",$G50&lt;0),$G50,TRUE,)</f>
        <v>50.768</v>
      </c>
      <c r="J50" s="171">
        <f t="shared" si="52"/>
        <v>96.1490902</v>
      </c>
      <c r="K50" s="172" t="str">
        <f t="shared" si="3"/>
        <v>iShares Treasury Bond 20+ UCITS</v>
      </c>
      <c r="L50" s="173">
        <f t="shared" si="4"/>
        <v>53253</v>
      </c>
      <c r="M50" s="174">
        <f t="shared" si="5"/>
        <v>-206464.56</v>
      </c>
      <c r="N50" s="176" t="str">
        <f>IF($P50&lt;&gt;"",IF(MAXIFS(Investment!$M:$M,Investment!$H:$H,LEFT($P50,30)&amp;"*"),MAXIFS(Investment!$M:$M,Investment!$H:$H,LEFT($P50,30)&amp;"*"),),)</f>
        <v/>
      </c>
      <c r="O50" s="177" t="str">
        <f>IF($P50&lt;&gt;"",IF(MAXIFS(Investment!$AI:$AI,Investment!$H:$H,LEFT($P50,30)&amp;"*"),MAXIFS(Investment!$AI:$AI,Investment!$H:$H,LEFT($P50,30)&amp;"*"),),)</f>
        <v/>
      </c>
      <c r="P50" s="172"/>
      <c r="Q50" s="173"/>
      <c r="R50" s="171"/>
    </row>
    <row r="51">
      <c r="A51" s="165">
        <v>43692.0</v>
      </c>
      <c r="B51" s="166" t="s">
        <v>134</v>
      </c>
      <c r="C51" s="167" t="s">
        <v>135</v>
      </c>
      <c r="D51" s="168" t="s">
        <v>301</v>
      </c>
      <c r="E51" s="168"/>
      <c r="F51" s="169"/>
      <c r="G51" s="170">
        <v>-2.15</v>
      </c>
      <c r="H51" s="167" t="s">
        <v>347</v>
      </c>
      <c r="I51" s="171">
        <f t="shared" ref="I51:J51" si="53">IFS(AND($B51&lt;&gt;"",$E51&lt;&gt;""),IF(INDEX(N:N,MATCH($C51,$P:$P,0),1)&lt;&gt;"",$E51*INDEX(N:N,MATCH($C51,$P:$P,0),1)+$G51,""),AND($B51&lt;&gt;"",$D51="COST",$G51&lt;0),$G51,TRUE,)</f>
        <v>-2.15</v>
      </c>
      <c r="J51" s="171">
        <f t="shared" si="53"/>
        <v>-2.15</v>
      </c>
      <c r="K51" s="172" t="str">
        <f t="shared" si="3"/>
        <v>iShares Treasury Bond 20+ UCITS</v>
      </c>
      <c r="L51" s="173">
        <f t="shared" si="4"/>
        <v>53253</v>
      </c>
      <c r="M51" s="174">
        <f t="shared" si="5"/>
        <v>-206464.56</v>
      </c>
      <c r="N51" s="176" t="str">
        <f>IF($P51&lt;&gt;"",IF(MAXIFS(Investment!$M:$M,Investment!$H:$H,LEFT($P51,30)&amp;"*"),MAXIFS(Investment!$M:$M,Investment!$H:$H,LEFT($P51,30)&amp;"*"),),)</f>
        <v/>
      </c>
      <c r="O51" s="177" t="str">
        <f>IF($P51&lt;&gt;"",IF(MAXIFS(Investment!$AI:$AI,Investment!$H:$H,LEFT($P51,30)&amp;"*"),MAXIFS(Investment!$AI:$AI,Investment!$H:$H,LEFT($P51,30)&amp;"*"),),)</f>
        <v/>
      </c>
      <c r="P51" s="172"/>
      <c r="Q51" s="173"/>
      <c r="R51" s="171"/>
    </row>
    <row r="52">
      <c r="A52" s="165">
        <v>43692.0</v>
      </c>
      <c r="B52" s="166" t="s">
        <v>134</v>
      </c>
      <c r="C52" s="167" t="s">
        <v>135</v>
      </c>
      <c r="D52" s="168" t="s">
        <v>280</v>
      </c>
      <c r="E52" s="168">
        <v>-51.0</v>
      </c>
      <c r="F52" s="169">
        <v>4.95</v>
      </c>
      <c r="G52" s="170">
        <v>252.45</v>
      </c>
      <c r="H52" s="167" t="s">
        <v>348</v>
      </c>
      <c r="I52" s="171">
        <f t="shared" ref="I52:J52" si="54">IFS(AND($B52&lt;&gt;"",$E52&lt;&gt;""),IF(INDEX(N:N,MATCH($C52,$P:$P,0),1)&lt;&gt;"",$E52*INDEX(N:N,MATCH($C52,$P:$P,0),1)+$G52,""),AND($B52&lt;&gt;"",$D52="COST",$G52&lt;0),$G52,TRUE,)</f>
        <v>17.034</v>
      </c>
      <c r="J52" s="171">
        <f t="shared" si="54"/>
        <v>32.26055</v>
      </c>
      <c r="K52" s="172" t="str">
        <f t="shared" si="3"/>
        <v>iShares Treasury Bond 20+ UCITS</v>
      </c>
      <c r="L52" s="173">
        <f t="shared" si="4"/>
        <v>53253</v>
      </c>
      <c r="M52" s="174">
        <f t="shared" si="5"/>
        <v>-206464.56</v>
      </c>
      <c r="N52" s="176" t="str">
        <f>IF($P52&lt;&gt;"",IF(MAXIFS(Investment!$M:$M,Investment!$H:$H,LEFT($P52,30)&amp;"*"),MAXIFS(Investment!$M:$M,Investment!$H:$H,LEFT($P52,30)&amp;"*"),),)</f>
        <v/>
      </c>
      <c r="O52" s="177" t="str">
        <f>IF($P52&lt;&gt;"",IF(MAXIFS(Investment!$AI:$AI,Investment!$H:$H,LEFT($P52,30)&amp;"*"),MAXIFS(Investment!$AI:$AI,Investment!$H:$H,LEFT($P52,30)&amp;"*"),),)</f>
        <v/>
      </c>
      <c r="P52" s="172"/>
      <c r="Q52" s="173"/>
      <c r="R52" s="171"/>
    </row>
    <row r="53">
      <c r="A53" s="165">
        <v>43692.0</v>
      </c>
      <c r="B53" s="166" t="s">
        <v>134</v>
      </c>
      <c r="C53" s="167" t="s">
        <v>135</v>
      </c>
      <c r="D53" s="168" t="s">
        <v>301</v>
      </c>
      <c r="E53" s="168"/>
      <c r="F53" s="169"/>
      <c r="G53" s="170">
        <v>-0.05</v>
      </c>
      <c r="H53" s="167" t="s">
        <v>349</v>
      </c>
      <c r="I53" s="171">
        <f t="shared" ref="I53:J53" si="55">IFS(AND($B53&lt;&gt;"",$E53&lt;&gt;""),IF(INDEX(N:N,MATCH($C53,$P:$P,0),1)&lt;&gt;"",$E53*INDEX(N:N,MATCH($C53,$P:$P,0),1)+$G53,""),AND($B53&lt;&gt;"",$D53="COST",$G53&lt;0),$G53,TRUE,)</f>
        <v>-0.05</v>
      </c>
      <c r="J53" s="171">
        <f t="shared" si="55"/>
        <v>-0.05</v>
      </c>
      <c r="K53" s="172" t="str">
        <f t="shared" si="3"/>
        <v>iShares Treasury Bond 20+ UCITS</v>
      </c>
      <c r="L53" s="173">
        <f t="shared" si="4"/>
        <v>53253</v>
      </c>
      <c r="M53" s="174">
        <f t="shared" si="5"/>
        <v>-206464.56</v>
      </c>
      <c r="N53" s="176" t="str">
        <f>IF($P53&lt;&gt;"",IF(MAXIFS(Investment!$M:$M,Investment!$H:$H,LEFT($P53,30)&amp;"*"),MAXIFS(Investment!$M:$M,Investment!$H:$H,LEFT($P53,30)&amp;"*"),),)</f>
        <v/>
      </c>
      <c r="O53" s="177" t="str">
        <f>IF($P53&lt;&gt;"",IF(MAXIFS(Investment!$AI:$AI,Investment!$H:$H,LEFT($P53,30)&amp;"*"),MAXIFS(Investment!$AI:$AI,Investment!$H:$H,LEFT($P53,30)&amp;"*"),),)</f>
        <v/>
      </c>
      <c r="P53" s="172"/>
      <c r="Q53" s="173"/>
      <c r="R53" s="171"/>
    </row>
    <row r="54">
      <c r="A54" s="165">
        <v>43692.0</v>
      </c>
      <c r="B54" s="166" t="s">
        <v>134</v>
      </c>
      <c r="C54" s="167" t="s">
        <v>135</v>
      </c>
      <c r="D54" s="168" t="s">
        <v>280</v>
      </c>
      <c r="E54" s="168">
        <v>-300.0</v>
      </c>
      <c r="F54" s="169">
        <v>4.96</v>
      </c>
      <c r="G54" s="170">
        <v>1488.0</v>
      </c>
      <c r="H54" s="167" t="s">
        <v>350</v>
      </c>
      <c r="I54" s="171">
        <f t="shared" ref="I54:J54" si="56">IFS(AND($B54&lt;&gt;"",$E54&lt;&gt;""),IF(INDEX(N:N,MATCH($C54,$P:$P,0),1)&lt;&gt;"",$E54*INDEX(N:N,MATCH($C54,$P:$P,0),1)+$G54,""),AND($B54&lt;&gt;"",$D54="COST",$G54&lt;0),$G54,TRUE,)</f>
        <v>103.2</v>
      </c>
      <c r="J54" s="171">
        <f t="shared" si="56"/>
        <v>192.7679412</v>
      </c>
      <c r="K54" s="172" t="str">
        <f t="shared" si="3"/>
        <v>iShares Treasury Bond 20+ UCITS</v>
      </c>
      <c r="L54" s="173">
        <f t="shared" si="4"/>
        <v>53253</v>
      </c>
      <c r="M54" s="174">
        <f t="shared" si="5"/>
        <v>-206464.56</v>
      </c>
      <c r="N54" s="176" t="str">
        <f>IF($P54&lt;&gt;"",IF(MAXIFS(Investment!$M:$M,Investment!$H:$H,LEFT($P54,30)&amp;"*"),MAXIFS(Investment!$M:$M,Investment!$H:$H,LEFT($P54,30)&amp;"*"),),)</f>
        <v/>
      </c>
      <c r="O54" s="177" t="str">
        <f>IF($P54&lt;&gt;"",IF(MAXIFS(Investment!$AI:$AI,Investment!$H:$H,LEFT($P54,30)&amp;"*"),MAXIFS(Investment!$AI:$AI,Investment!$H:$H,LEFT($P54,30)&amp;"*"),),)</f>
        <v/>
      </c>
      <c r="P54" s="172"/>
      <c r="Q54" s="173"/>
      <c r="R54" s="171"/>
    </row>
    <row r="55">
      <c r="A55" s="165">
        <v>43692.0</v>
      </c>
      <c r="B55" s="166" t="s">
        <v>134</v>
      </c>
      <c r="C55" s="167" t="s">
        <v>135</v>
      </c>
      <c r="D55" s="168" t="s">
        <v>301</v>
      </c>
      <c r="E55" s="168"/>
      <c r="F55" s="169"/>
      <c r="G55" s="170">
        <v>-2.3</v>
      </c>
      <c r="H55" s="167" t="s">
        <v>351</v>
      </c>
      <c r="I55" s="171">
        <f t="shared" ref="I55:J55" si="57">IFS(AND($B55&lt;&gt;"",$E55&lt;&gt;""),IF(INDEX(N:N,MATCH($C55,$P:$P,0),1)&lt;&gt;"",$E55*INDEX(N:N,MATCH($C55,$P:$P,0),1)+$G55,""),AND($B55&lt;&gt;"",$D55="COST",$G55&lt;0),$G55,TRUE,)</f>
        <v>-2.3</v>
      </c>
      <c r="J55" s="171">
        <f t="shared" si="57"/>
        <v>-2.3</v>
      </c>
      <c r="K55" s="172" t="str">
        <f t="shared" si="3"/>
        <v>iShares Treasury Bond 20+ UCITS</v>
      </c>
      <c r="L55" s="173">
        <f t="shared" si="4"/>
        <v>53253</v>
      </c>
      <c r="M55" s="174">
        <f t="shared" si="5"/>
        <v>-206464.56</v>
      </c>
      <c r="N55" s="176" t="str">
        <f>IF($P55&lt;&gt;"",IF(MAXIFS(Investment!$M:$M,Investment!$H:$H,LEFT($P55,30)&amp;"*"),MAXIFS(Investment!$M:$M,Investment!$H:$H,LEFT($P55,30)&amp;"*"),),)</f>
        <v/>
      </c>
      <c r="O55" s="177" t="str">
        <f>IF($P55&lt;&gt;"",IF(MAXIFS(Investment!$AI:$AI,Investment!$H:$H,LEFT($P55,30)&amp;"*"),MAXIFS(Investment!$AI:$AI,Investment!$H:$H,LEFT($P55,30)&amp;"*"),),)</f>
        <v/>
      </c>
      <c r="P55" s="172"/>
      <c r="Q55" s="173"/>
      <c r="R55" s="171"/>
    </row>
    <row r="56">
      <c r="A56" s="165">
        <v>43692.0</v>
      </c>
      <c r="B56" s="166" t="s">
        <v>134</v>
      </c>
      <c r="C56" s="167" t="s">
        <v>135</v>
      </c>
      <c r="D56" s="168" t="s">
        <v>280</v>
      </c>
      <c r="E56" s="168">
        <v>-203.0</v>
      </c>
      <c r="F56" s="169">
        <v>4.95</v>
      </c>
      <c r="G56" s="170">
        <v>1004.85</v>
      </c>
      <c r="H56" s="167" t="s">
        <v>352</v>
      </c>
      <c r="I56" s="171">
        <f t="shared" ref="I56:J56" si="58">IFS(AND($B56&lt;&gt;"",$E56&lt;&gt;""),IF(INDEX(N:N,MATCH($C56,$P:$P,0),1)&lt;&gt;"",$E56*INDEX(N:N,MATCH($C56,$P:$P,0),1)+$G56,""),AND($B56&lt;&gt;"",$D56="COST",$G56&lt;0),$G56,TRUE,)</f>
        <v>67.802</v>
      </c>
      <c r="J56" s="171">
        <f t="shared" si="58"/>
        <v>128.4096402</v>
      </c>
      <c r="K56" s="172" t="str">
        <f t="shared" si="3"/>
        <v>iShares Treasury Bond 20+ UCITS</v>
      </c>
      <c r="L56" s="173">
        <f t="shared" si="4"/>
        <v>53253</v>
      </c>
      <c r="M56" s="174">
        <f t="shared" si="5"/>
        <v>-206464.56</v>
      </c>
      <c r="N56" s="176" t="str">
        <f>IF($P56&lt;&gt;"",IF(MAXIFS(Investment!$M:$M,Investment!$H:$H,LEFT($P56,30)&amp;"*"),MAXIFS(Investment!$M:$M,Investment!$H:$H,LEFT($P56,30)&amp;"*"),),)</f>
        <v/>
      </c>
      <c r="O56" s="177" t="str">
        <f>IF($P56&lt;&gt;"",IF(MAXIFS(Investment!$AI:$AI,Investment!$H:$H,LEFT($P56,30)&amp;"*"),MAXIFS(Investment!$AI:$AI,Investment!$H:$H,LEFT($P56,30)&amp;"*"),),)</f>
        <v/>
      </c>
      <c r="P56" s="172"/>
      <c r="Q56" s="173"/>
      <c r="R56" s="171"/>
    </row>
    <row r="57">
      <c r="A57" s="165">
        <v>43692.0</v>
      </c>
      <c r="B57" s="166" t="s">
        <v>134</v>
      </c>
      <c r="C57" s="167" t="s">
        <v>135</v>
      </c>
      <c r="D57" s="168" t="s">
        <v>301</v>
      </c>
      <c r="E57" s="168"/>
      <c r="F57" s="169"/>
      <c r="G57" s="170">
        <v>-2.2</v>
      </c>
      <c r="H57" s="167" t="s">
        <v>353</v>
      </c>
      <c r="I57" s="171">
        <f t="shared" ref="I57:J57" si="59">IFS(AND($B57&lt;&gt;"",$E57&lt;&gt;""),IF(INDEX(N:N,MATCH($C57,$P:$P,0),1)&lt;&gt;"",$E57*INDEX(N:N,MATCH($C57,$P:$P,0),1)+$G57,""),AND($B57&lt;&gt;"",$D57="COST",$G57&lt;0),$G57,TRUE,)</f>
        <v>-2.2</v>
      </c>
      <c r="J57" s="171">
        <f t="shared" si="59"/>
        <v>-2.2</v>
      </c>
      <c r="K57" s="172" t="str">
        <f t="shared" si="3"/>
        <v>iShares Treasury Bond 20+ UCITS</v>
      </c>
      <c r="L57" s="173">
        <f t="shared" si="4"/>
        <v>53253</v>
      </c>
      <c r="M57" s="174">
        <f t="shared" si="5"/>
        <v>-206464.56</v>
      </c>
      <c r="N57" s="176" t="str">
        <f>IF($P57&lt;&gt;"",IF(MAXIFS(Investment!$M:$M,Investment!$H:$H,LEFT($P57,30)&amp;"*"),MAXIFS(Investment!$M:$M,Investment!$H:$H,LEFT($P57,30)&amp;"*"),),)</f>
        <v/>
      </c>
      <c r="O57" s="177" t="str">
        <f>IF($P57&lt;&gt;"",IF(MAXIFS(Investment!$AI:$AI,Investment!$H:$H,LEFT($P57,30)&amp;"*"),MAXIFS(Investment!$AI:$AI,Investment!$H:$H,LEFT($P57,30)&amp;"*"),),)</f>
        <v/>
      </c>
      <c r="P57" s="172"/>
      <c r="Q57" s="173"/>
      <c r="R57" s="171"/>
    </row>
    <row r="58">
      <c r="A58" s="165">
        <v>43692.0</v>
      </c>
      <c r="B58" s="166" t="s">
        <v>127</v>
      </c>
      <c r="C58" s="167" t="s">
        <v>128</v>
      </c>
      <c r="D58" s="168" t="s">
        <v>280</v>
      </c>
      <c r="E58" s="168">
        <v>-6.0</v>
      </c>
      <c r="F58" s="169">
        <v>187.8</v>
      </c>
      <c r="G58" s="170">
        <v>1126.8</v>
      </c>
      <c r="H58" s="167" t="s">
        <v>360</v>
      </c>
      <c r="I58" s="171">
        <f t="shared" ref="I58:J58" si="60">IFS(AND($B58&lt;&gt;"",$E58&lt;&gt;""),IF(INDEX(N:N,MATCH($C58,$P:$P,0),1)&lt;&gt;"",$E58*INDEX(N:N,MATCH($C58,$P:$P,0),1)+$G58,""),AND($B58&lt;&gt;"",$D58="COST",$G58&lt;0),$G58,TRUE,)</f>
        <v>15.18</v>
      </c>
      <c r="J58" s="171">
        <f t="shared" si="60"/>
        <v>66.04729412</v>
      </c>
      <c r="K58" s="172" t="str">
        <f t="shared" si="3"/>
        <v>iShares Treasury Bond 7-10 UCITS</v>
      </c>
      <c r="L58" s="173">
        <f t="shared" si="4"/>
        <v>547</v>
      </c>
      <c r="M58" s="174">
        <f t="shared" si="5"/>
        <v>-81771.76</v>
      </c>
      <c r="N58" s="176" t="str">
        <f>IF($P58&lt;&gt;"",IF(MAXIFS(Investment!$M:$M,Investment!$H:$H,LEFT($P58,30)&amp;"*"),MAXIFS(Investment!$M:$M,Investment!$H:$H,LEFT($P58,30)&amp;"*"),),)</f>
        <v/>
      </c>
      <c r="O58" s="177" t="str">
        <f>IF($P58&lt;&gt;"",IF(MAXIFS(Investment!$AI:$AI,Investment!$H:$H,LEFT($P58,30)&amp;"*"),MAXIFS(Investment!$AI:$AI,Investment!$H:$H,LEFT($P58,30)&amp;"*"),),)</f>
        <v/>
      </c>
      <c r="P58" s="172"/>
      <c r="Q58" s="173"/>
      <c r="R58" s="171"/>
    </row>
    <row r="59">
      <c r="A59" s="165">
        <v>43692.0</v>
      </c>
      <c r="B59" s="166" t="s">
        <v>134</v>
      </c>
      <c r="C59" s="167" t="s">
        <v>135</v>
      </c>
      <c r="D59" s="168" t="s">
        <v>280</v>
      </c>
      <c r="E59" s="168">
        <v>-203.0</v>
      </c>
      <c r="F59" s="169">
        <v>4.9483</v>
      </c>
      <c r="G59" s="170">
        <v>1004.5</v>
      </c>
      <c r="H59" s="167" t="s">
        <v>366</v>
      </c>
      <c r="I59" s="171">
        <f t="shared" ref="I59:J59" si="61">IFS(AND($B59&lt;&gt;"",$E59&lt;&gt;""),IF(INDEX(N:N,MATCH($C59,$P:$P,0),1)&lt;&gt;"",$E59*INDEX(N:N,MATCH($C59,$P:$P,0),1)+$G59,""),AND($B59&lt;&gt;"",$D59="COST",$G59&lt;0),$G59,TRUE,)</f>
        <v>67.452</v>
      </c>
      <c r="J59" s="171">
        <f t="shared" si="61"/>
        <v>128.0596402</v>
      </c>
      <c r="K59" s="172" t="str">
        <f t="shared" si="3"/>
        <v>iShares Treasury Bond 20+ UCITS</v>
      </c>
      <c r="L59" s="173">
        <f t="shared" si="4"/>
        <v>53253</v>
      </c>
      <c r="M59" s="174">
        <f t="shared" si="5"/>
        <v>-206464.56</v>
      </c>
      <c r="N59" s="176" t="str">
        <f>IF($P59&lt;&gt;"",IF(MAXIFS(Investment!$M:$M,Investment!$H:$H,LEFT($P59,30)&amp;"*"),MAXIFS(Investment!$M:$M,Investment!$H:$H,LEFT($P59,30)&amp;"*"),),)</f>
        <v/>
      </c>
      <c r="O59" s="177" t="str">
        <f>IF($P59&lt;&gt;"",IF(MAXIFS(Investment!$AI:$AI,Investment!$H:$H,LEFT($P59,30)&amp;"*"),MAXIFS(Investment!$AI:$AI,Investment!$H:$H,LEFT($P59,30)&amp;"*"),),)</f>
        <v/>
      </c>
      <c r="P59" s="172"/>
      <c r="Q59" s="173"/>
      <c r="R59" s="171"/>
    </row>
    <row r="60">
      <c r="A60" s="165">
        <v>43692.0</v>
      </c>
      <c r="B60" s="166" t="s">
        <v>134</v>
      </c>
      <c r="C60" s="167" t="s">
        <v>135</v>
      </c>
      <c r="D60" s="168" t="s">
        <v>301</v>
      </c>
      <c r="E60" s="168"/>
      <c r="F60" s="169"/>
      <c r="G60" s="170">
        <v>-2.2</v>
      </c>
      <c r="H60" s="167" t="s">
        <v>353</v>
      </c>
      <c r="I60" s="171">
        <f t="shared" ref="I60:J60" si="62">IFS(AND($B60&lt;&gt;"",$E60&lt;&gt;""),IF(INDEX(N:N,MATCH($C60,$P:$P,0),1)&lt;&gt;"",$E60*INDEX(N:N,MATCH($C60,$P:$P,0),1)+$G60,""),AND($B60&lt;&gt;"",$D60="COST",$G60&lt;0),$G60,TRUE,)</f>
        <v>-2.2</v>
      </c>
      <c r="J60" s="171">
        <f t="shared" si="62"/>
        <v>-2.2</v>
      </c>
      <c r="K60" s="172" t="str">
        <f t="shared" si="3"/>
        <v>iShares Treasury Bond 20+ UCITS</v>
      </c>
      <c r="L60" s="173">
        <f t="shared" si="4"/>
        <v>53253</v>
      </c>
      <c r="M60" s="174">
        <f t="shared" si="5"/>
        <v>-206464.56</v>
      </c>
      <c r="N60" s="176" t="str">
        <f>IF($P60&lt;&gt;"",IF(MAXIFS(Investment!$M:$M,Investment!$H:$H,LEFT($P60,30)&amp;"*"),MAXIFS(Investment!$M:$M,Investment!$H:$H,LEFT($P60,30)&amp;"*"),),)</f>
        <v/>
      </c>
      <c r="O60" s="177" t="str">
        <f>IF($P60&lt;&gt;"",IF(MAXIFS(Investment!$AI:$AI,Investment!$H:$H,LEFT($P60,30)&amp;"*"),MAXIFS(Investment!$AI:$AI,Investment!$H:$H,LEFT($P60,30)&amp;"*"),),)</f>
        <v/>
      </c>
      <c r="P60" s="172"/>
      <c r="Q60" s="173"/>
      <c r="R60" s="171"/>
    </row>
    <row r="61">
      <c r="A61" s="165">
        <v>43692.0</v>
      </c>
      <c r="B61" s="166" t="s">
        <v>134</v>
      </c>
      <c r="C61" s="167" t="s">
        <v>135</v>
      </c>
      <c r="D61" s="168" t="s">
        <v>280</v>
      </c>
      <c r="E61" s="168">
        <v>-203.0</v>
      </c>
      <c r="F61" s="169">
        <v>4.94</v>
      </c>
      <c r="G61" s="170">
        <v>1002.82</v>
      </c>
      <c r="H61" s="167" t="s">
        <v>376</v>
      </c>
      <c r="I61" s="171">
        <f t="shared" ref="I61:J61" si="63">IFS(AND($B61&lt;&gt;"",$E61&lt;&gt;""),IF(INDEX(N:N,MATCH($C61,$P:$P,0),1)&lt;&gt;"",$E61*INDEX(N:N,MATCH($C61,$P:$P,0),1)+$G61,""),AND($B61&lt;&gt;"",$D61="COST",$G61&lt;0),$G61,TRUE,)</f>
        <v>65.772</v>
      </c>
      <c r="J61" s="171">
        <f t="shared" si="63"/>
        <v>126.3796402</v>
      </c>
      <c r="K61" s="172" t="str">
        <f t="shared" si="3"/>
        <v>iShares Treasury Bond 20+ UCITS</v>
      </c>
      <c r="L61" s="173">
        <f t="shared" si="4"/>
        <v>53253</v>
      </c>
      <c r="M61" s="174">
        <f t="shared" si="5"/>
        <v>-206464.56</v>
      </c>
      <c r="N61" s="176" t="str">
        <f>IF($P61&lt;&gt;"",IF(MAXIFS(Investment!$M:$M,Investment!$H:$H,LEFT($P61,30)&amp;"*"),MAXIFS(Investment!$M:$M,Investment!$H:$H,LEFT($P61,30)&amp;"*"),),)</f>
        <v/>
      </c>
      <c r="O61" s="177" t="str">
        <f>IF($P61&lt;&gt;"",IF(MAXIFS(Investment!$AI:$AI,Investment!$H:$H,LEFT($P61,30)&amp;"*"),MAXIFS(Investment!$AI:$AI,Investment!$H:$H,LEFT($P61,30)&amp;"*"),),)</f>
        <v/>
      </c>
      <c r="P61" s="172"/>
      <c r="Q61" s="173"/>
      <c r="R61" s="171"/>
    </row>
    <row r="62">
      <c r="A62" s="165">
        <v>43692.0</v>
      </c>
      <c r="B62" s="166" t="s">
        <v>134</v>
      </c>
      <c r="C62" s="167" t="s">
        <v>135</v>
      </c>
      <c r="D62" s="168" t="s">
        <v>301</v>
      </c>
      <c r="E62" s="168"/>
      <c r="F62" s="169"/>
      <c r="G62" s="170">
        <v>-2.2</v>
      </c>
      <c r="H62" s="167" t="s">
        <v>353</v>
      </c>
      <c r="I62" s="171">
        <f t="shared" ref="I62:J62" si="64">IFS(AND($B62&lt;&gt;"",$E62&lt;&gt;""),IF(INDEX(N:N,MATCH($C62,$P:$P,0),1)&lt;&gt;"",$E62*INDEX(N:N,MATCH($C62,$P:$P,0),1)+$G62,""),AND($B62&lt;&gt;"",$D62="COST",$G62&lt;0),$G62,TRUE,)</f>
        <v>-2.2</v>
      </c>
      <c r="J62" s="171">
        <f t="shared" si="64"/>
        <v>-2.2</v>
      </c>
      <c r="K62" s="172" t="str">
        <f t="shared" si="3"/>
        <v>iShares Treasury Bond 20+ UCITS</v>
      </c>
      <c r="L62" s="173">
        <f t="shared" si="4"/>
        <v>53253</v>
      </c>
      <c r="M62" s="174">
        <f t="shared" si="5"/>
        <v>-206464.56</v>
      </c>
      <c r="N62" s="176" t="str">
        <f>IF($P62&lt;&gt;"",IF(MAXIFS(Investment!$M:$M,Investment!$H:$H,LEFT($P62,30)&amp;"*"),MAXIFS(Investment!$M:$M,Investment!$H:$H,LEFT($P62,30)&amp;"*"),),)</f>
        <v/>
      </c>
      <c r="O62" s="177" t="str">
        <f>IF($P62&lt;&gt;"",IF(MAXIFS(Investment!$AI:$AI,Investment!$H:$H,LEFT($P62,30)&amp;"*"),MAXIFS(Investment!$AI:$AI,Investment!$H:$H,LEFT($P62,30)&amp;"*"),),)</f>
        <v/>
      </c>
      <c r="P62" s="172"/>
      <c r="Q62" s="173"/>
      <c r="R62" s="171"/>
    </row>
    <row r="63">
      <c r="A63" s="165">
        <v>43692.0</v>
      </c>
      <c r="B63" s="166" t="s">
        <v>127</v>
      </c>
      <c r="C63" s="167" t="s">
        <v>128</v>
      </c>
      <c r="D63" s="168" t="s">
        <v>280</v>
      </c>
      <c r="E63" s="168">
        <v>-7.0</v>
      </c>
      <c r="F63" s="169">
        <v>187.75</v>
      </c>
      <c r="G63" s="170">
        <v>1314.25</v>
      </c>
      <c r="H63" s="167" t="s">
        <v>377</v>
      </c>
      <c r="I63" s="171">
        <f t="shared" ref="I63:J63" si="65">IFS(AND($B63&lt;&gt;"",$E63&lt;&gt;""),IF(INDEX(N:N,MATCH($C63,$P:$P,0),1)&lt;&gt;"",$E63*INDEX(N:N,MATCH($C63,$P:$P,0),1)+$G63,""),AND($B63&lt;&gt;"",$D63="COST",$G63&lt;0),$G63,TRUE,)</f>
        <v>17.36</v>
      </c>
      <c r="J63" s="171">
        <f t="shared" si="65"/>
        <v>76.70517647</v>
      </c>
      <c r="K63" s="172" t="str">
        <f t="shared" si="3"/>
        <v>iShares Treasury Bond 7-10 UCITS</v>
      </c>
      <c r="L63" s="173">
        <f t="shared" si="4"/>
        <v>547</v>
      </c>
      <c r="M63" s="174">
        <f t="shared" si="5"/>
        <v>-81771.76</v>
      </c>
      <c r="N63" s="176" t="str">
        <f>IF($P63&lt;&gt;"",IF(MAXIFS(Investment!$M:$M,Investment!$H:$H,LEFT($P63,30)&amp;"*"),MAXIFS(Investment!$M:$M,Investment!$H:$H,LEFT($P63,30)&amp;"*"),),)</f>
        <v/>
      </c>
      <c r="O63" s="177" t="str">
        <f>IF($P63&lt;&gt;"",IF(MAXIFS(Investment!$AI:$AI,Investment!$H:$H,LEFT($P63,30)&amp;"*"),MAXIFS(Investment!$AI:$AI,Investment!$H:$H,LEFT($P63,30)&amp;"*"),),)</f>
        <v/>
      </c>
      <c r="P63" s="172"/>
      <c r="Q63" s="173"/>
      <c r="R63" s="171"/>
    </row>
    <row r="64">
      <c r="A64" s="165">
        <v>43692.0</v>
      </c>
      <c r="B64" s="166" t="s">
        <v>134</v>
      </c>
      <c r="C64" s="167" t="s">
        <v>135</v>
      </c>
      <c r="D64" s="168" t="s">
        <v>280</v>
      </c>
      <c r="E64" s="168">
        <v>-203.0</v>
      </c>
      <c r="F64" s="169">
        <v>4.934</v>
      </c>
      <c r="G64" s="170">
        <v>1001.6</v>
      </c>
      <c r="H64" s="167" t="s">
        <v>378</v>
      </c>
      <c r="I64" s="171">
        <f t="shared" ref="I64:J64" si="66">IFS(AND($B64&lt;&gt;"",$E64&lt;&gt;""),IF(INDEX(N:N,MATCH($C64,$P:$P,0),1)&lt;&gt;"",$E64*INDEX(N:N,MATCH($C64,$P:$P,0),1)+$G64,""),AND($B64&lt;&gt;"",$D64="COST",$G64&lt;0),$G64,TRUE,)</f>
        <v>64.552</v>
      </c>
      <c r="J64" s="171">
        <f t="shared" si="66"/>
        <v>125.1596402</v>
      </c>
      <c r="K64" s="172" t="str">
        <f t="shared" si="3"/>
        <v>iShares Treasury Bond 20+ UCITS</v>
      </c>
      <c r="L64" s="173">
        <f t="shared" si="4"/>
        <v>53253</v>
      </c>
      <c r="M64" s="174">
        <f t="shared" si="5"/>
        <v>-206464.56</v>
      </c>
      <c r="N64" s="176" t="str">
        <f>IF($P64&lt;&gt;"",IF(MAXIFS(Investment!$M:$M,Investment!$H:$H,LEFT($P64,30)&amp;"*"),MAXIFS(Investment!$M:$M,Investment!$H:$H,LEFT($P64,30)&amp;"*"),),)</f>
        <v/>
      </c>
      <c r="O64" s="177" t="str">
        <f>IF($P64&lt;&gt;"",IF(MAXIFS(Investment!$AI:$AI,Investment!$H:$H,LEFT($P64,30)&amp;"*"),MAXIFS(Investment!$AI:$AI,Investment!$H:$H,LEFT($P64,30)&amp;"*"),),)</f>
        <v/>
      </c>
      <c r="P64" s="172"/>
      <c r="Q64" s="173"/>
      <c r="R64" s="171"/>
    </row>
    <row r="65">
      <c r="A65" s="165">
        <v>43692.0</v>
      </c>
      <c r="B65" s="166" t="s">
        <v>134</v>
      </c>
      <c r="C65" s="167" t="s">
        <v>135</v>
      </c>
      <c r="D65" s="168" t="s">
        <v>301</v>
      </c>
      <c r="E65" s="168"/>
      <c r="F65" s="169"/>
      <c r="G65" s="170">
        <v>-2.2</v>
      </c>
      <c r="H65" s="167" t="s">
        <v>353</v>
      </c>
      <c r="I65" s="171">
        <f t="shared" ref="I65:J65" si="67">IFS(AND($B65&lt;&gt;"",$E65&lt;&gt;""),IF(INDEX(N:N,MATCH($C65,$P:$P,0),1)&lt;&gt;"",$E65*INDEX(N:N,MATCH($C65,$P:$P,0),1)+$G65,""),AND($B65&lt;&gt;"",$D65="COST",$G65&lt;0),$G65,TRUE,)</f>
        <v>-2.2</v>
      </c>
      <c r="J65" s="171">
        <f t="shared" si="67"/>
        <v>-2.2</v>
      </c>
      <c r="K65" s="172" t="str">
        <f t="shared" si="3"/>
        <v>iShares Treasury Bond 20+ UCITS</v>
      </c>
      <c r="L65" s="173">
        <f t="shared" si="4"/>
        <v>53253</v>
      </c>
      <c r="M65" s="174">
        <f t="shared" si="5"/>
        <v>-206464.56</v>
      </c>
      <c r="N65" s="176" t="str">
        <f>IF($P65&lt;&gt;"",IF(MAXIFS(Investment!$M:$M,Investment!$H:$H,LEFT($P65,30)&amp;"*"),MAXIFS(Investment!$M:$M,Investment!$H:$H,LEFT($P65,30)&amp;"*"),),)</f>
        <v/>
      </c>
      <c r="O65" s="177" t="str">
        <f>IF($P65&lt;&gt;"",IF(MAXIFS(Investment!$AI:$AI,Investment!$H:$H,LEFT($P65,30)&amp;"*"),MAXIFS(Investment!$AI:$AI,Investment!$H:$H,LEFT($P65,30)&amp;"*"),),)</f>
        <v/>
      </c>
      <c r="P65" s="172"/>
      <c r="Q65" s="173"/>
      <c r="R65" s="171"/>
    </row>
    <row r="66">
      <c r="A66" s="165">
        <v>43692.0</v>
      </c>
      <c r="B66" s="166" t="s">
        <v>134</v>
      </c>
      <c r="C66" s="167" t="s">
        <v>135</v>
      </c>
      <c r="D66" s="168" t="s">
        <v>280</v>
      </c>
      <c r="E66" s="168">
        <v>-355.0</v>
      </c>
      <c r="F66" s="169">
        <v>4.93</v>
      </c>
      <c r="G66" s="170">
        <v>1750.15</v>
      </c>
      <c r="H66" s="167" t="s">
        <v>381</v>
      </c>
      <c r="I66" s="171">
        <f t="shared" ref="I66:J66" si="68">IFS(AND($B66&lt;&gt;"",$E66&lt;&gt;""),IF(INDEX(N:N,MATCH($C66,$P:$P,0),1)&lt;&gt;"",$E66*INDEX(N:N,MATCH($C66,$P:$P,0),1)+$G66,""),AND($B66&lt;&gt;"",$D66="COST",$G66&lt;0),$G66,TRUE,)</f>
        <v>111.47</v>
      </c>
      <c r="J66" s="171">
        <f t="shared" si="68"/>
        <v>217.4587304</v>
      </c>
      <c r="K66" s="172" t="str">
        <f t="shared" si="3"/>
        <v>iShares Treasury Bond 20+ UCITS</v>
      </c>
      <c r="L66" s="173">
        <f t="shared" si="4"/>
        <v>53253</v>
      </c>
      <c r="M66" s="174">
        <f t="shared" si="5"/>
        <v>-206464.56</v>
      </c>
      <c r="N66" s="176" t="str">
        <f>IF($P66&lt;&gt;"",IF(MAXIFS(Investment!$M:$M,Investment!$H:$H,LEFT($P66,30)&amp;"*"),MAXIFS(Investment!$M:$M,Investment!$H:$H,LEFT($P66,30)&amp;"*"),),)</f>
        <v/>
      </c>
      <c r="O66" s="177" t="str">
        <f>IF($P66&lt;&gt;"",IF(MAXIFS(Investment!$AI:$AI,Investment!$H:$H,LEFT($P66,30)&amp;"*"),MAXIFS(Investment!$AI:$AI,Investment!$H:$H,LEFT($P66,30)&amp;"*"),),)</f>
        <v/>
      </c>
      <c r="P66" s="172"/>
      <c r="Q66" s="173"/>
      <c r="R66" s="171"/>
    </row>
    <row r="67">
      <c r="A67" s="165">
        <v>43692.0</v>
      </c>
      <c r="B67" s="166" t="s">
        <v>134</v>
      </c>
      <c r="C67" s="167" t="s">
        <v>135</v>
      </c>
      <c r="D67" s="168" t="s">
        <v>301</v>
      </c>
      <c r="E67" s="168"/>
      <c r="F67" s="169"/>
      <c r="G67" s="170">
        <v>-2.35</v>
      </c>
      <c r="H67" s="167" t="s">
        <v>473</v>
      </c>
      <c r="I67" s="171">
        <f t="shared" ref="I67:J67" si="69">IFS(AND($B67&lt;&gt;"",$E67&lt;&gt;""),IF(INDEX(N:N,MATCH($C67,$P:$P,0),1)&lt;&gt;"",$E67*INDEX(N:N,MATCH($C67,$P:$P,0),1)+$G67,""),AND($B67&lt;&gt;"",$D67="COST",$G67&lt;0),$G67,TRUE,)</f>
        <v>-2.35</v>
      </c>
      <c r="J67" s="171">
        <f t="shared" si="69"/>
        <v>-2.35</v>
      </c>
      <c r="K67" s="172" t="str">
        <f t="shared" si="3"/>
        <v>iShares Treasury Bond 20+ UCITS</v>
      </c>
      <c r="L67" s="173">
        <f t="shared" si="4"/>
        <v>53253</v>
      </c>
      <c r="M67" s="174">
        <f t="shared" si="5"/>
        <v>-206464.56</v>
      </c>
      <c r="N67" s="176" t="str">
        <f>IF($P67&lt;&gt;"",IF(MAXIFS(Investment!$M:$M,Investment!$H:$H,LEFT($P67,30)&amp;"*"),MAXIFS(Investment!$M:$M,Investment!$H:$H,LEFT($P67,30)&amp;"*"),),)</f>
        <v/>
      </c>
      <c r="O67" s="177" t="str">
        <f>IF($P67&lt;&gt;"",IF(MAXIFS(Investment!$AI:$AI,Investment!$H:$H,LEFT($P67,30)&amp;"*"),MAXIFS(Investment!$AI:$AI,Investment!$H:$H,LEFT($P67,30)&amp;"*"),),)</f>
        <v/>
      </c>
      <c r="P67" s="172"/>
      <c r="Q67" s="173"/>
      <c r="R67" s="171"/>
    </row>
    <row r="68">
      <c r="A68" s="165">
        <v>43692.0</v>
      </c>
      <c r="B68" s="166" t="s">
        <v>134</v>
      </c>
      <c r="C68" s="167" t="s">
        <v>135</v>
      </c>
      <c r="D68" s="168" t="s">
        <v>280</v>
      </c>
      <c r="E68" s="168">
        <v>-100.0</v>
      </c>
      <c r="F68" s="169">
        <v>4.93</v>
      </c>
      <c r="G68" s="170">
        <v>493.0</v>
      </c>
      <c r="H68" s="167" t="s">
        <v>529</v>
      </c>
      <c r="I68" s="171">
        <f t="shared" ref="I68:J68" si="70">IFS(AND($B68&lt;&gt;"",$E68&lt;&gt;""),IF(INDEX(N:N,MATCH($C68,$P:$P,0),1)&lt;&gt;"",$E68*INDEX(N:N,MATCH($C68,$P:$P,0),1)+$G68,""),AND($B68&lt;&gt;"",$D68="COST",$G68&lt;0),$G68,TRUE,)</f>
        <v>31.4</v>
      </c>
      <c r="J68" s="171">
        <f t="shared" si="70"/>
        <v>61.25598039</v>
      </c>
      <c r="K68" s="172" t="str">
        <f t="shared" si="3"/>
        <v>iShares Treasury Bond 20+ UCITS</v>
      </c>
      <c r="L68" s="173">
        <f t="shared" si="4"/>
        <v>53253</v>
      </c>
      <c r="M68" s="174">
        <f t="shared" si="5"/>
        <v>-206464.56</v>
      </c>
      <c r="N68" s="176" t="str">
        <f>IF($P68&lt;&gt;"",IF(MAXIFS(Investment!$M:$M,Investment!$H:$H,LEFT($P68,30)&amp;"*"),MAXIFS(Investment!$M:$M,Investment!$H:$H,LEFT($P68,30)&amp;"*"),),)</f>
        <v/>
      </c>
      <c r="O68" s="177" t="str">
        <f>IF($P68&lt;&gt;"",IF(MAXIFS(Investment!$AI:$AI,Investment!$H:$H,LEFT($P68,30)&amp;"*"),MAXIFS(Investment!$AI:$AI,Investment!$H:$H,LEFT($P68,30)&amp;"*"),),)</f>
        <v/>
      </c>
      <c r="P68" s="172"/>
      <c r="Q68" s="173"/>
      <c r="R68" s="171"/>
    </row>
    <row r="69">
      <c r="A69" s="165">
        <v>43692.0</v>
      </c>
      <c r="B69" s="166" t="s">
        <v>134</v>
      </c>
      <c r="C69" s="167" t="s">
        <v>135</v>
      </c>
      <c r="D69" s="168" t="s">
        <v>301</v>
      </c>
      <c r="E69" s="168"/>
      <c r="F69" s="169"/>
      <c r="G69" s="170">
        <v>-2.1</v>
      </c>
      <c r="H69" s="167" t="s">
        <v>541</v>
      </c>
      <c r="I69" s="171">
        <f t="shared" ref="I69:J69" si="71">IFS(AND($B69&lt;&gt;"",$E69&lt;&gt;""),IF(INDEX(N:N,MATCH($C69,$P:$P,0),1)&lt;&gt;"",$E69*INDEX(N:N,MATCH($C69,$P:$P,0),1)+$G69,""),AND($B69&lt;&gt;"",$D69="COST",$G69&lt;0),$G69,TRUE,)</f>
        <v>-2.1</v>
      </c>
      <c r="J69" s="171">
        <f t="shared" si="71"/>
        <v>-2.1</v>
      </c>
      <c r="K69" s="172" t="str">
        <f t="shared" si="3"/>
        <v>iShares Treasury Bond 20+ UCITS</v>
      </c>
      <c r="L69" s="173">
        <f t="shared" si="4"/>
        <v>53253</v>
      </c>
      <c r="M69" s="174">
        <f t="shared" si="5"/>
        <v>-206464.56</v>
      </c>
      <c r="N69" s="176" t="str">
        <f>IF($P69&lt;&gt;"",IF(MAXIFS(Investment!$M:$M,Investment!$H:$H,LEFT($P69,30)&amp;"*"),MAXIFS(Investment!$M:$M,Investment!$H:$H,LEFT($P69,30)&amp;"*"),),)</f>
        <v/>
      </c>
      <c r="O69" s="177" t="str">
        <f>IF($P69&lt;&gt;"",IF(MAXIFS(Investment!$AI:$AI,Investment!$H:$H,LEFT($P69,30)&amp;"*"),MAXIFS(Investment!$AI:$AI,Investment!$H:$H,LEFT($P69,30)&amp;"*"),),)</f>
        <v/>
      </c>
      <c r="P69" s="172"/>
      <c r="Q69" s="173"/>
      <c r="R69" s="171"/>
    </row>
    <row r="70">
      <c r="A70" s="165">
        <v>43692.0</v>
      </c>
      <c r="B70" s="166" t="s">
        <v>134</v>
      </c>
      <c r="C70" s="167" t="s">
        <v>135</v>
      </c>
      <c r="D70" s="168" t="s">
        <v>280</v>
      </c>
      <c r="E70" s="168">
        <v>-500.0</v>
      </c>
      <c r="F70" s="169">
        <v>4.93</v>
      </c>
      <c r="G70" s="170">
        <v>2465.0</v>
      </c>
      <c r="H70" s="167" t="s">
        <v>544</v>
      </c>
      <c r="I70" s="171">
        <f t="shared" ref="I70:J70" si="72">IFS(AND($B70&lt;&gt;"",$E70&lt;&gt;""),IF(INDEX(N:N,MATCH($C70,$P:$P,0),1)&lt;&gt;"",$E70*INDEX(N:N,MATCH($C70,$P:$P,0),1)+$G70,""),AND($B70&lt;&gt;"",$D70="COST",$G70&lt;0),$G70,TRUE,)</f>
        <v>157</v>
      </c>
      <c r="J70" s="171">
        <f t="shared" si="72"/>
        <v>306.279902</v>
      </c>
      <c r="K70" s="172" t="str">
        <f t="shared" si="3"/>
        <v>iShares Treasury Bond 20+ UCITS</v>
      </c>
      <c r="L70" s="173">
        <f t="shared" si="4"/>
        <v>53253</v>
      </c>
      <c r="M70" s="174">
        <f t="shared" si="5"/>
        <v>-206464.56</v>
      </c>
      <c r="N70" s="176" t="str">
        <f>IF($P70&lt;&gt;"",IF(MAXIFS(Investment!$M:$M,Investment!$H:$H,LEFT($P70,30)&amp;"*"),MAXIFS(Investment!$M:$M,Investment!$H:$H,LEFT($P70,30)&amp;"*"),),)</f>
        <v/>
      </c>
      <c r="O70" s="177" t="str">
        <f>IF($P70&lt;&gt;"",IF(MAXIFS(Investment!$AI:$AI,Investment!$H:$H,LEFT($P70,30)&amp;"*"),MAXIFS(Investment!$AI:$AI,Investment!$H:$H,LEFT($P70,30)&amp;"*"),),)</f>
        <v/>
      </c>
      <c r="P70" s="172"/>
      <c r="Q70" s="173"/>
      <c r="R70" s="171"/>
    </row>
    <row r="71">
      <c r="A71" s="165">
        <v>43692.0</v>
      </c>
      <c r="B71" s="166" t="s">
        <v>134</v>
      </c>
      <c r="C71" s="167" t="s">
        <v>135</v>
      </c>
      <c r="D71" s="168" t="s">
        <v>301</v>
      </c>
      <c r="E71" s="168"/>
      <c r="F71" s="169"/>
      <c r="G71" s="170">
        <v>-0.49</v>
      </c>
      <c r="H71" s="167" t="s">
        <v>547</v>
      </c>
      <c r="I71" s="171">
        <f t="shared" ref="I71:J71" si="73">IFS(AND($B71&lt;&gt;"",$E71&lt;&gt;""),IF(INDEX(N:N,MATCH($C71,$P:$P,0),1)&lt;&gt;"",$E71*INDEX(N:N,MATCH($C71,$P:$P,0),1)+$G71,""),AND($B71&lt;&gt;"",$D71="COST",$G71&lt;0),$G71,TRUE,)</f>
        <v>-0.49</v>
      </c>
      <c r="J71" s="171">
        <f t="shared" si="73"/>
        <v>-0.49</v>
      </c>
      <c r="K71" s="172" t="str">
        <f t="shared" si="3"/>
        <v>iShares Treasury Bond 20+ UCITS</v>
      </c>
      <c r="L71" s="173">
        <f t="shared" si="4"/>
        <v>53253</v>
      </c>
      <c r="M71" s="174">
        <f t="shared" si="5"/>
        <v>-206464.56</v>
      </c>
      <c r="N71" s="176" t="str">
        <f>IF($P71&lt;&gt;"",IF(MAXIFS(Investment!$M:$M,Investment!$H:$H,LEFT($P71,30)&amp;"*"),MAXIFS(Investment!$M:$M,Investment!$H:$H,LEFT($P71,30)&amp;"*"),),)</f>
        <v/>
      </c>
      <c r="O71" s="177" t="str">
        <f>IF($P71&lt;&gt;"",IF(MAXIFS(Investment!$AI:$AI,Investment!$H:$H,LEFT($P71,30)&amp;"*"),MAXIFS(Investment!$AI:$AI,Investment!$H:$H,LEFT($P71,30)&amp;"*"),),)</f>
        <v/>
      </c>
      <c r="P71" s="172"/>
      <c r="Q71" s="173"/>
      <c r="R71" s="171"/>
    </row>
    <row r="72">
      <c r="A72" s="165">
        <v>43691.0</v>
      </c>
      <c r="B72" s="166" t="s">
        <v>134</v>
      </c>
      <c r="C72" s="167" t="s">
        <v>135</v>
      </c>
      <c r="D72" s="168" t="s">
        <v>280</v>
      </c>
      <c r="E72" s="168">
        <v>-206.0</v>
      </c>
      <c r="F72" s="169">
        <v>4.8765</v>
      </c>
      <c r="G72" s="170">
        <v>1004.56</v>
      </c>
      <c r="H72" s="167" t="s">
        <v>548</v>
      </c>
      <c r="I72" s="171">
        <f t="shared" ref="I72:J72" si="74">IFS(AND($B72&lt;&gt;"",$E72&lt;&gt;""),IF(INDEX(N:N,MATCH($C72,$P:$P,0),1)&lt;&gt;"",$E72*INDEX(N:N,MATCH($C72,$P:$P,0),1)+$G72,""),AND($B72&lt;&gt;"",$D72="COST",$G72&lt;0),$G72,TRUE,)</f>
        <v>53.664</v>
      </c>
      <c r="J72" s="171">
        <f t="shared" si="74"/>
        <v>115.1673196</v>
      </c>
      <c r="K72" s="172" t="str">
        <f t="shared" si="3"/>
        <v>iShares Treasury Bond 20+ UCITS</v>
      </c>
      <c r="L72" s="173">
        <f t="shared" si="4"/>
        <v>53253</v>
      </c>
      <c r="M72" s="174">
        <f t="shared" si="5"/>
        <v>-206464.56</v>
      </c>
      <c r="N72" s="176" t="str">
        <f>IF($P72&lt;&gt;"",IF(MAXIFS(Investment!$M:$M,Investment!$H:$H,LEFT($P72,30)&amp;"*"),MAXIFS(Investment!$M:$M,Investment!$H:$H,LEFT($P72,30)&amp;"*"),),)</f>
        <v/>
      </c>
      <c r="O72" s="177" t="str">
        <f>IF($P72&lt;&gt;"",IF(MAXIFS(Investment!$AI:$AI,Investment!$H:$H,LEFT($P72,30)&amp;"*"),MAXIFS(Investment!$AI:$AI,Investment!$H:$H,LEFT($P72,30)&amp;"*"),),)</f>
        <v/>
      </c>
      <c r="P72" s="172"/>
      <c r="Q72" s="173"/>
      <c r="R72" s="171"/>
    </row>
    <row r="73">
      <c r="A73" s="165">
        <v>43691.0</v>
      </c>
      <c r="B73" s="166" t="s">
        <v>134</v>
      </c>
      <c r="C73" s="167" t="s">
        <v>135</v>
      </c>
      <c r="D73" s="168" t="s">
        <v>301</v>
      </c>
      <c r="E73" s="168"/>
      <c r="F73" s="169"/>
      <c r="G73" s="170">
        <v>-2.2</v>
      </c>
      <c r="H73" s="167" t="s">
        <v>353</v>
      </c>
      <c r="I73" s="171">
        <f t="shared" ref="I73:J73" si="75">IFS(AND($B73&lt;&gt;"",$E73&lt;&gt;""),IF(INDEX(N:N,MATCH($C73,$P:$P,0),1)&lt;&gt;"",$E73*INDEX(N:N,MATCH($C73,$P:$P,0),1)+$G73,""),AND($B73&lt;&gt;"",$D73="COST",$G73&lt;0),$G73,TRUE,)</f>
        <v>-2.2</v>
      </c>
      <c r="J73" s="171">
        <f t="shared" si="75"/>
        <v>-2.2</v>
      </c>
      <c r="K73" s="172" t="str">
        <f t="shared" si="3"/>
        <v>iShares Treasury Bond 20+ UCITS</v>
      </c>
      <c r="L73" s="173">
        <f t="shared" si="4"/>
        <v>53253</v>
      </c>
      <c r="M73" s="174">
        <f t="shared" si="5"/>
        <v>-206464.56</v>
      </c>
      <c r="N73" s="176" t="str">
        <f>IF($P73&lt;&gt;"",IF(MAXIFS(Investment!$M:$M,Investment!$H:$H,LEFT($P73,30)&amp;"*"),MAXIFS(Investment!$M:$M,Investment!$H:$H,LEFT($P73,30)&amp;"*"),),)</f>
        <v/>
      </c>
      <c r="O73" s="177" t="str">
        <f>IF($P73&lt;&gt;"",IF(MAXIFS(Investment!$AI:$AI,Investment!$H:$H,LEFT($P73,30)&amp;"*"),MAXIFS(Investment!$AI:$AI,Investment!$H:$H,LEFT($P73,30)&amp;"*"),),)</f>
        <v/>
      </c>
      <c r="P73" s="172"/>
      <c r="Q73" s="173"/>
      <c r="R73" s="171"/>
    </row>
    <row r="74">
      <c r="A74" s="165">
        <v>43691.0</v>
      </c>
      <c r="B74" s="166" t="s">
        <v>134</v>
      </c>
      <c r="C74" s="167" t="s">
        <v>135</v>
      </c>
      <c r="D74" s="168" t="s">
        <v>280</v>
      </c>
      <c r="E74" s="168">
        <v>-106.0</v>
      </c>
      <c r="F74" s="169">
        <v>4.876</v>
      </c>
      <c r="G74" s="170">
        <v>516.86</v>
      </c>
      <c r="H74" s="167" t="s">
        <v>549</v>
      </c>
      <c r="I74" s="171">
        <f t="shared" ref="I74:J74" si="76">IFS(AND($B74&lt;&gt;"",$E74&lt;&gt;""),IF(INDEX(N:N,MATCH($C74,$P:$P,0),1)&lt;&gt;"",$E74*INDEX(N:N,MATCH($C74,$P:$P,0),1)+$G74,""),AND($B74&lt;&gt;"",$D74="COST",$G74&lt;0),$G74,TRUE,)</f>
        <v>27.564</v>
      </c>
      <c r="J74" s="171">
        <f t="shared" si="76"/>
        <v>59.21133922</v>
      </c>
      <c r="K74" s="172" t="str">
        <f t="shared" si="3"/>
        <v>iShares Treasury Bond 20+ UCITS</v>
      </c>
      <c r="L74" s="173">
        <f t="shared" si="4"/>
        <v>53253</v>
      </c>
      <c r="M74" s="174">
        <f t="shared" si="5"/>
        <v>-206464.56</v>
      </c>
      <c r="N74" s="176" t="str">
        <f>IF($P74&lt;&gt;"",IF(MAXIFS(Investment!$M:$M,Investment!$H:$H,LEFT($P74,30)&amp;"*"),MAXIFS(Investment!$M:$M,Investment!$H:$H,LEFT($P74,30)&amp;"*"),),)</f>
        <v/>
      </c>
      <c r="O74" s="177" t="str">
        <f>IF($P74&lt;&gt;"",IF(MAXIFS(Investment!$AI:$AI,Investment!$H:$H,LEFT($P74,30)&amp;"*"),MAXIFS(Investment!$AI:$AI,Investment!$H:$H,LEFT($P74,30)&amp;"*"),),)</f>
        <v/>
      </c>
      <c r="P74" s="172"/>
      <c r="Q74" s="173"/>
      <c r="R74" s="171"/>
    </row>
    <row r="75">
      <c r="A75" s="165">
        <v>43691.0</v>
      </c>
      <c r="B75" s="166" t="s">
        <v>134</v>
      </c>
      <c r="C75" s="167" t="s">
        <v>135</v>
      </c>
      <c r="D75" s="168" t="s">
        <v>301</v>
      </c>
      <c r="E75" s="168"/>
      <c r="F75" s="169"/>
      <c r="G75" s="170">
        <v>-0.1</v>
      </c>
      <c r="H75" s="167" t="s">
        <v>550</v>
      </c>
      <c r="I75" s="171">
        <f t="shared" ref="I75:J75" si="77">IFS(AND($B75&lt;&gt;"",$E75&lt;&gt;""),IF(INDEX(N:N,MATCH($C75,$P:$P,0),1)&lt;&gt;"",$E75*INDEX(N:N,MATCH($C75,$P:$P,0),1)+$G75,""),AND($B75&lt;&gt;"",$D75="COST",$G75&lt;0),$G75,TRUE,)</f>
        <v>-0.1</v>
      </c>
      <c r="J75" s="171">
        <f t="shared" si="77"/>
        <v>-0.1</v>
      </c>
      <c r="K75" s="172" t="str">
        <f t="shared" si="3"/>
        <v>iShares Treasury Bond 20+ UCITS</v>
      </c>
      <c r="L75" s="173">
        <f t="shared" si="4"/>
        <v>53253</v>
      </c>
      <c r="M75" s="174">
        <f t="shared" si="5"/>
        <v>-206464.56</v>
      </c>
      <c r="N75" s="176" t="str">
        <f>IF($P75&lt;&gt;"",IF(MAXIFS(Investment!$M:$M,Investment!$H:$H,LEFT($P75,30)&amp;"*"),MAXIFS(Investment!$M:$M,Investment!$H:$H,LEFT($P75,30)&amp;"*"),),)</f>
        <v/>
      </c>
      <c r="O75" s="177" t="str">
        <f>IF($P75&lt;&gt;"",IF(MAXIFS(Investment!$AI:$AI,Investment!$H:$H,LEFT($P75,30)&amp;"*"),MAXIFS(Investment!$AI:$AI,Investment!$H:$H,LEFT($P75,30)&amp;"*"),),)</f>
        <v/>
      </c>
      <c r="P75" s="172"/>
      <c r="Q75" s="173"/>
      <c r="R75" s="171"/>
    </row>
    <row r="76">
      <c r="A76" s="165">
        <v>43691.0</v>
      </c>
      <c r="B76" s="166" t="s">
        <v>134</v>
      </c>
      <c r="C76" s="167" t="s">
        <v>135</v>
      </c>
      <c r="D76" s="168" t="s">
        <v>280</v>
      </c>
      <c r="E76" s="168">
        <v>-100.0</v>
      </c>
      <c r="F76" s="169">
        <v>4.876</v>
      </c>
      <c r="G76" s="170">
        <v>487.6</v>
      </c>
      <c r="H76" s="167" t="s">
        <v>551</v>
      </c>
      <c r="I76" s="171">
        <f t="shared" ref="I76:J76" si="78">IFS(AND($B76&lt;&gt;"",$E76&lt;&gt;""),IF(INDEX(N:N,MATCH($C76,$P:$P,0),1)&lt;&gt;"",$E76*INDEX(N:N,MATCH($C76,$P:$P,0),1)+$G76,""),AND($B76&lt;&gt;"",$D76="COST",$G76&lt;0),$G76,TRUE,)</f>
        <v>26</v>
      </c>
      <c r="J76" s="171">
        <f t="shared" si="78"/>
        <v>55.85598039</v>
      </c>
      <c r="K76" s="172" t="str">
        <f t="shared" si="3"/>
        <v>iShares Treasury Bond 20+ UCITS</v>
      </c>
      <c r="L76" s="173">
        <f t="shared" si="4"/>
        <v>53253</v>
      </c>
      <c r="M76" s="174">
        <f t="shared" si="5"/>
        <v>-206464.56</v>
      </c>
      <c r="N76" s="176" t="str">
        <f>IF($P76&lt;&gt;"",IF(MAXIFS(Investment!$M:$M,Investment!$H:$H,LEFT($P76,30)&amp;"*"),MAXIFS(Investment!$M:$M,Investment!$H:$H,LEFT($P76,30)&amp;"*"),),)</f>
        <v/>
      </c>
      <c r="O76" s="177" t="str">
        <f>IF($P76&lt;&gt;"",IF(MAXIFS(Investment!$AI:$AI,Investment!$H:$H,LEFT($P76,30)&amp;"*"),MAXIFS(Investment!$AI:$AI,Investment!$H:$H,LEFT($P76,30)&amp;"*"),),)</f>
        <v/>
      </c>
      <c r="P76" s="172"/>
      <c r="Q76" s="173"/>
      <c r="R76" s="171"/>
    </row>
    <row r="77">
      <c r="A77" s="165">
        <v>43691.0</v>
      </c>
      <c r="B77" s="166" t="s">
        <v>134</v>
      </c>
      <c r="C77" s="167" t="s">
        <v>135</v>
      </c>
      <c r="D77" s="168" t="s">
        <v>301</v>
      </c>
      <c r="E77" s="168"/>
      <c r="F77" s="169"/>
      <c r="G77" s="170">
        <v>-2.1</v>
      </c>
      <c r="H77" s="167" t="s">
        <v>541</v>
      </c>
      <c r="I77" s="171">
        <f t="shared" ref="I77:J77" si="79">IFS(AND($B77&lt;&gt;"",$E77&lt;&gt;""),IF(INDEX(N:N,MATCH($C77,$P:$P,0),1)&lt;&gt;"",$E77*INDEX(N:N,MATCH($C77,$P:$P,0),1)+$G77,""),AND($B77&lt;&gt;"",$D77="COST",$G77&lt;0),$G77,TRUE,)</f>
        <v>-2.1</v>
      </c>
      <c r="J77" s="171">
        <f t="shared" si="79"/>
        <v>-2.1</v>
      </c>
      <c r="K77" s="172" t="str">
        <f t="shared" si="3"/>
        <v>iShares Treasury Bond 20+ UCITS</v>
      </c>
      <c r="L77" s="173">
        <f t="shared" si="4"/>
        <v>53253</v>
      </c>
      <c r="M77" s="174">
        <f t="shared" si="5"/>
        <v>-206464.56</v>
      </c>
      <c r="N77" s="176" t="str">
        <f>IF($P77&lt;&gt;"",IF(MAXIFS(Investment!$M:$M,Investment!$H:$H,LEFT($P77,30)&amp;"*"),MAXIFS(Investment!$M:$M,Investment!$H:$H,LEFT($P77,30)&amp;"*"),),)</f>
        <v/>
      </c>
      <c r="O77" s="177" t="str">
        <f>IF($P77&lt;&gt;"",IF(MAXIFS(Investment!$AI:$AI,Investment!$H:$H,LEFT($P77,30)&amp;"*"),MAXIFS(Investment!$AI:$AI,Investment!$H:$H,LEFT($P77,30)&amp;"*"),),)</f>
        <v/>
      </c>
      <c r="P77" s="172"/>
      <c r="Q77" s="173"/>
      <c r="R77" s="171"/>
    </row>
    <row r="78">
      <c r="A78" s="165">
        <v>43691.0</v>
      </c>
      <c r="B78" s="166" t="s">
        <v>134</v>
      </c>
      <c r="C78" s="167" t="s">
        <v>135</v>
      </c>
      <c r="D78" s="168" t="s">
        <v>280</v>
      </c>
      <c r="E78" s="168">
        <v>-56.0</v>
      </c>
      <c r="F78" s="169">
        <v>4.8739</v>
      </c>
      <c r="G78" s="170">
        <v>272.94</v>
      </c>
      <c r="H78" s="167" t="s">
        <v>558</v>
      </c>
      <c r="I78" s="171">
        <f t="shared" ref="I78:J78" si="80">IFS(AND($B78&lt;&gt;"",$E78&lt;&gt;""),IF(INDEX(N:N,MATCH($C78,$P:$P,0),1)&lt;&gt;"",$E78*INDEX(N:N,MATCH($C78,$P:$P,0),1)+$G78,""),AND($B78&lt;&gt;"",$D78="COST",$G78&lt;0),$G78,TRUE,)</f>
        <v>14.444</v>
      </c>
      <c r="J78" s="171">
        <f t="shared" si="80"/>
        <v>31.16334902</v>
      </c>
      <c r="K78" s="172" t="str">
        <f t="shared" si="3"/>
        <v>iShares Treasury Bond 20+ UCITS</v>
      </c>
      <c r="L78" s="173">
        <f t="shared" si="4"/>
        <v>53253</v>
      </c>
      <c r="M78" s="174">
        <f t="shared" si="5"/>
        <v>-206464.56</v>
      </c>
      <c r="N78" s="176" t="str">
        <f>IF($P78&lt;&gt;"",IF(MAXIFS(Investment!$M:$M,Investment!$H:$H,LEFT($P78,30)&amp;"*"),MAXIFS(Investment!$M:$M,Investment!$H:$H,LEFT($P78,30)&amp;"*"),),)</f>
        <v/>
      </c>
      <c r="O78" s="177" t="str">
        <f>IF($P78&lt;&gt;"",IF(MAXIFS(Investment!$AI:$AI,Investment!$H:$H,LEFT($P78,30)&amp;"*"),MAXIFS(Investment!$AI:$AI,Investment!$H:$H,LEFT($P78,30)&amp;"*"),),)</f>
        <v/>
      </c>
      <c r="P78" s="172"/>
      <c r="Q78" s="173"/>
      <c r="R78" s="171"/>
    </row>
    <row r="79">
      <c r="A79" s="165">
        <v>43691.0</v>
      </c>
      <c r="B79" s="166" t="s">
        <v>134</v>
      </c>
      <c r="C79" s="167" t="s">
        <v>135</v>
      </c>
      <c r="D79" s="168" t="s">
        <v>301</v>
      </c>
      <c r="E79" s="168"/>
      <c r="F79" s="169"/>
      <c r="G79" s="170">
        <v>-2.05</v>
      </c>
      <c r="H79" s="167" t="s">
        <v>559</v>
      </c>
      <c r="I79" s="171">
        <f t="shared" ref="I79:J79" si="81">IFS(AND($B79&lt;&gt;"",$E79&lt;&gt;""),IF(INDEX(N:N,MATCH($C79,$P:$P,0),1)&lt;&gt;"",$E79*INDEX(N:N,MATCH($C79,$P:$P,0),1)+$G79,""),AND($B79&lt;&gt;"",$D79="COST",$G79&lt;0),$G79,TRUE,)</f>
        <v>-2.05</v>
      </c>
      <c r="J79" s="171">
        <f t="shared" si="81"/>
        <v>-2.05</v>
      </c>
      <c r="K79" s="172" t="str">
        <f t="shared" si="3"/>
        <v>iShares Treasury Bond 20+ UCITS</v>
      </c>
      <c r="L79" s="173">
        <f t="shared" si="4"/>
        <v>53253</v>
      </c>
      <c r="M79" s="174">
        <f t="shared" si="5"/>
        <v>-206464.56</v>
      </c>
      <c r="N79" s="176" t="str">
        <f>IF($P79&lt;&gt;"",IF(MAXIFS(Investment!$M:$M,Investment!$H:$H,LEFT($P79,30)&amp;"*"),MAXIFS(Investment!$M:$M,Investment!$H:$H,LEFT($P79,30)&amp;"*"),),)</f>
        <v/>
      </c>
      <c r="O79" s="177" t="str">
        <f>IF($P79&lt;&gt;"",IF(MAXIFS(Investment!$AI:$AI,Investment!$H:$H,LEFT($P79,30)&amp;"*"),MAXIFS(Investment!$AI:$AI,Investment!$H:$H,LEFT($P79,30)&amp;"*"),),)</f>
        <v/>
      </c>
      <c r="P79" s="172"/>
      <c r="Q79" s="173"/>
      <c r="R79" s="171"/>
    </row>
    <row r="80">
      <c r="A80" s="165">
        <v>43691.0</v>
      </c>
      <c r="B80" s="166" t="s">
        <v>134</v>
      </c>
      <c r="C80" s="167" t="s">
        <v>135</v>
      </c>
      <c r="D80" s="168" t="s">
        <v>280</v>
      </c>
      <c r="E80" s="168">
        <v>-167.0</v>
      </c>
      <c r="F80" s="169">
        <v>4.878</v>
      </c>
      <c r="G80" s="170">
        <v>814.63</v>
      </c>
      <c r="H80" s="167" t="s">
        <v>560</v>
      </c>
      <c r="I80" s="171">
        <f t="shared" ref="I80:J80" si="82">IFS(AND($B80&lt;&gt;"",$E80&lt;&gt;""),IF(INDEX(N:N,MATCH($C80,$P:$P,0),1)&lt;&gt;"",$E80*INDEX(N:N,MATCH($C80,$P:$P,0),1)+$G80,""),AND($B80&lt;&gt;"",$D80="COST",$G80&lt;0),$G80,TRUE,)</f>
        <v>43.758</v>
      </c>
      <c r="J80" s="171">
        <f t="shared" si="82"/>
        <v>93.61748725</v>
      </c>
      <c r="K80" s="172" t="str">
        <f t="shared" si="3"/>
        <v>iShares Treasury Bond 20+ UCITS</v>
      </c>
      <c r="L80" s="173">
        <f t="shared" si="4"/>
        <v>53253</v>
      </c>
      <c r="M80" s="174">
        <f t="shared" si="5"/>
        <v>-206464.56</v>
      </c>
      <c r="N80" s="176" t="str">
        <f>IF($P80&lt;&gt;"",IF(MAXIFS(Investment!$M:$M,Investment!$H:$H,LEFT($P80,30)&amp;"*"),MAXIFS(Investment!$M:$M,Investment!$H:$H,LEFT($P80,30)&amp;"*"),),)</f>
        <v/>
      </c>
      <c r="O80" s="177" t="str">
        <f>IF($P80&lt;&gt;"",IF(MAXIFS(Investment!$AI:$AI,Investment!$H:$H,LEFT($P80,30)&amp;"*"),MAXIFS(Investment!$AI:$AI,Investment!$H:$H,LEFT($P80,30)&amp;"*"),),)</f>
        <v/>
      </c>
      <c r="P80" s="172"/>
      <c r="Q80" s="173"/>
      <c r="R80" s="171"/>
    </row>
    <row r="81">
      <c r="A81" s="165">
        <v>43691.0</v>
      </c>
      <c r="B81" s="166" t="s">
        <v>134</v>
      </c>
      <c r="C81" s="167" t="s">
        <v>135</v>
      </c>
      <c r="D81" s="168" t="s">
        <v>301</v>
      </c>
      <c r="E81" s="168"/>
      <c r="F81" s="169"/>
      <c r="G81" s="170">
        <v>-0.16</v>
      </c>
      <c r="H81" s="167" t="s">
        <v>561</v>
      </c>
      <c r="I81" s="171">
        <f t="shared" ref="I81:J81" si="83">IFS(AND($B81&lt;&gt;"",$E81&lt;&gt;""),IF(INDEX(N:N,MATCH($C81,$P:$P,0),1)&lt;&gt;"",$E81*INDEX(N:N,MATCH($C81,$P:$P,0),1)+$G81,""),AND($B81&lt;&gt;"",$D81="COST",$G81&lt;0),$G81,TRUE,)</f>
        <v>-0.16</v>
      </c>
      <c r="J81" s="171">
        <f t="shared" si="83"/>
        <v>-0.16</v>
      </c>
      <c r="K81" s="172" t="str">
        <f t="shared" si="3"/>
        <v>iShares Treasury Bond 20+ UCITS</v>
      </c>
      <c r="L81" s="173">
        <f t="shared" si="4"/>
        <v>53253</v>
      </c>
      <c r="M81" s="174">
        <f t="shared" si="5"/>
        <v>-206464.56</v>
      </c>
      <c r="N81" s="176" t="str">
        <f>IF($P81&lt;&gt;"",IF(MAXIFS(Investment!$M:$M,Investment!$H:$H,LEFT($P81,30)&amp;"*"),MAXIFS(Investment!$M:$M,Investment!$H:$H,LEFT($P81,30)&amp;"*"),),)</f>
        <v/>
      </c>
      <c r="O81" s="177" t="str">
        <f>IF($P81&lt;&gt;"",IF(MAXIFS(Investment!$AI:$AI,Investment!$H:$H,LEFT($P81,30)&amp;"*"),MAXIFS(Investment!$AI:$AI,Investment!$H:$H,LEFT($P81,30)&amp;"*"),),)</f>
        <v/>
      </c>
      <c r="P81" s="172"/>
      <c r="Q81" s="173"/>
      <c r="R81" s="171"/>
    </row>
    <row r="82">
      <c r="A82" s="165">
        <v>43691.0</v>
      </c>
      <c r="B82" s="166" t="s">
        <v>134</v>
      </c>
      <c r="C82" s="167" t="s">
        <v>135</v>
      </c>
      <c r="D82" s="168" t="s">
        <v>280</v>
      </c>
      <c r="E82" s="168">
        <v>-100.0</v>
      </c>
      <c r="F82" s="169">
        <v>4.878</v>
      </c>
      <c r="G82" s="170">
        <v>487.8</v>
      </c>
      <c r="H82" s="167" t="s">
        <v>562</v>
      </c>
      <c r="I82" s="171">
        <f t="shared" ref="I82:J82" si="84">IFS(AND($B82&lt;&gt;"",$E82&lt;&gt;""),IF(INDEX(N:N,MATCH($C82,$P:$P,0),1)&lt;&gt;"",$E82*INDEX(N:N,MATCH($C82,$P:$P,0),1)+$G82,""),AND($B82&lt;&gt;"",$D82="COST",$G82&lt;0),$G82,TRUE,)</f>
        <v>26.2</v>
      </c>
      <c r="J82" s="171">
        <f t="shared" si="84"/>
        <v>56.05598039</v>
      </c>
      <c r="K82" s="172" t="str">
        <f t="shared" si="3"/>
        <v>iShares Treasury Bond 20+ UCITS</v>
      </c>
      <c r="L82" s="173">
        <f t="shared" si="4"/>
        <v>53253</v>
      </c>
      <c r="M82" s="174">
        <f t="shared" si="5"/>
        <v>-206464.56</v>
      </c>
      <c r="N82" s="176" t="str">
        <f>IF($P82&lt;&gt;"",IF(MAXIFS(Investment!$M:$M,Investment!$H:$H,LEFT($P82,30)&amp;"*"),MAXIFS(Investment!$M:$M,Investment!$H:$H,LEFT($P82,30)&amp;"*"),),)</f>
        <v/>
      </c>
      <c r="O82" s="177" t="str">
        <f>IF($P82&lt;&gt;"",IF(MAXIFS(Investment!$AI:$AI,Investment!$H:$H,LEFT($P82,30)&amp;"*"),MAXIFS(Investment!$AI:$AI,Investment!$H:$H,LEFT($P82,30)&amp;"*"),),)</f>
        <v/>
      </c>
      <c r="P82" s="172"/>
      <c r="Q82" s="173"/>
      <c r="R82" s="171"/>
    </row>
    <row r="83">
      <c r="A83" s="165">
        <v>43691.0</v>
      </c>
      <c r="B83" s="166" t="s">
        <v>134</v>
      </c>
      <c r="C83" s="167" t="s">
        <v>135</v>
      </c>
      <c r="D83" s="168" t="s">
        <v>301</v>
      </c>
      <c r="E83" s="168"/>
      <c r="F83" s="169"/>
      <c r="G83" s="170">
        <v>-2.1</v>
      </c>
      <c r="H83" s="167" t="s">
        <v>541</v>
      </c>
      <c r="I83" s="171">
        <f t="shared" ref="I83:J83" si="85">IFS(AND($B83&lt;&gt;"",$E83&lt;&gt;""),IF(INDEX(N:N,MATCH($C83,$P:$P,0),1)&lt;&gt;"",$E83*INDEX(N:N,MATCH($C83,$P:$P,0),1)+$G83,""),AND($B83&lt;&gt;"",$D83="COST",$G83&lt;0),$G83,TRUE,)</f>
        <v>-2.1</v>
      </c>
      <c r="J83" s="171">
        <f t="shared" si="85"/>
        <v>-2.1</v>
      </c>
      <c r="K83" s="172" t="str">
        <f t="shared" si="3"/>
        <v>iShares Treasury Bond 20+ UCITS</v>
      </c>
      <c r="L83" s="173">
        <f t="shared" si="4"/>
        <v>53253</v>
      </c>
      <c r="M83" s="174">
        <f t="shared" si="5"/>
        <v>-206464.56</v>
      </c>
      <c r="N83" s="176" t="str">
        <f>IF($P83&lt;&gt;"",IF(MAXIFS(Investment!$M:$M,Investment!$H:$H,LEFT($P83,30)&amp;"*"),MAXIFS(Investment!$M:$M,Investment!$H:$H,LEFT($P83,30)&amp;"*"),),)</f>
        <v/>
      </c>
      <c r="O83" s="177" t="str">
        <f>IF($P83&lt;&gt;"",IF(MAXIFS(Investment!$AI:$AI,Investment!$H:$H,LEFT($P83,30)&amp;"*"),MAXIFS(Investment!$AI:$AI,Investment!$H:$H,LEFT($P83,30)&amp;"*"),),)</f>
        <v/>
      </c>
      <c r="P83" s="172"/>
      <c r="Q83" s="173"/>
      <c r="R83" s="171"/>
    </row>
    <row r="84">
      <c r="A84" s="165">
        <v>43691.0</v>
      </c>
      <c r="B84" s="166" t="s">
        <v>134</v>
      </c>
      <c r="C84" s="167" t="s">
        <v>135</v>
      </c>
      <c r="D84" s="168" t="s">
        <v>280</v>
      </c>
      <c r="E84" s="168">
        <v>-589.0</v>
      </c>
      <c r="F84" s="169">
        <v>4.88</v>
      </c>
      <c r="G84" s="170">
        <v>2874.32</v>
      </c>
      <c r="H84" s="167" t="s">
        <v>563</v>
      </c>
      <c r="I84" s="171">
        <f t="shared" ref="I84:J84" si="86">IFS(AND($B84&lt;&gt;"",$E84&lt;&gt;""),IF(INDEX(N:N,MATCH($C84,$P:$P,0),1)&lt;&gt;"",$E84*INDEX(N:N,MATCH($C84,$P:$P,0),1)+$G84,""),AND($B84&lt;&gt;"",$D84="COST",$G84&lt;0),$G84,TRUE,)</f>
        <v>155.496</v>
      </c>
      <c r="J84" s="171">
        <f t="shared" si="86"/>
        <v>331.3477245</v>
      </c>
      <c r="K84" s="172" t="str">
        <f t="shared" si="3"/>
        <v>iShares Treasury Bond 20+ UCITS</v>
      </c>
      <c r="L84" s="173">
        <f t="shared" si="4"/>
        <v>53253</v>
      </c>
      <c r="M84" s="174">
        <f t="shared" si="5"/>
        <v>-206464.56</v>
      </c>
      <c r="N84" s="176" t="str">
        <f>IF($P84&lt;&gt;"",IF(MAXIFS(Investment!$M:$M,Investment!$H:$H,LEFT($P84,30)&amp;"*"),MAXIFS(Investment!$M:$M,Investment!$H:$H,LEFT($P84,30)&amp;"*"),),)</f>
        <v/>
      </c>
      <c r="O84" s="177" t="str">
        <f>IF($P84&lt;&gt;"",IF(MAXIFS(Investment!$AI:$AI,Investment!$H:$H,LEFT($P84,30)&amp;"*"),MAXIFS(Investment!$AI:$AI,Investment!$H:$H,LEFT($P84,30)&amp;"*"),),)</f>
        <v/>
      </c>
      <c r="P84" s="172"/>
      <c r="Q84" s="173"/>
      <c r="R84" s="171"/>
    </row>
    <row r="85">
      <c r="A85" s="165">
        <v>43691.0</v>
      </c>
      <c r="B85" s="166" t="s">
        <v>134</v>
      </c>
      <c r="C85" s="167" t="s">
        <v>135</v>
      </c>
      <c r="D85" s="168" t="s">
        <v>301</v>
      </c>
      <c r="E85" s="168"/>
      <c r="F85" s="169"/>
      <c r="G85" s="170">
        <v>-2.57</v>
      </c>
      <c r="H85" s="167" t="s">
        <v>564</v>
      </c>
      <c r="I85" s="171">
        <f t="shared" ref="I85:J85" si="87">IFS(AND($B85&lt;&gt;"",$E85&lt;&gt;""),IF(INDEX(N:N,MATCH($C85,$P:$P,0),1)&lt;&gt;"",$E85*INDEX(N:N,MATCH($C85,$P:$P,0),1)+$G85,""),AND($B85&lt;&gt;"",$D85="COST",$G85&lt;0),$G85,TRUE,)</f>
        <v>-2.57</v>
      </c>
      <c r="J85" s="171">
        <f t="shared" si="87"/>
        <v>-2.57</v>
      </c>
      <c r="K85" s="172" t="str">
        <f t="shared" si="3"/>
        <v>iShares Treasury Bond 20+ UCITS</v>
      </c>
      <c r="L85" s="173">
        <f t="shared" si="4"/>
        <v>53253</v>
      </c>
      <c r="M85" s="174">
        <f t="shared" si="5"/>
        <v>-206464.56</v>
      </c>
      <c r="N85" s="176" t="str">
        <f>IF($P85&lt;&gt;"",IF(MAXIFS(Investment!$M:$M,Investment!$H:$H,LEFT($P85,30)&amp;"*"),MAXIFS(Investment!$M:$M,Investment!$H:$H,LEFT($P85,30)&amp;"*"),),)</f>
        <v/>
      </c>
      <c r="O85" s="177" t="str">
        <f>IF($P85&lt;&gt;"",IF(MAXIFS(Investment!$AI:$AI,Investment!$H:$H,LEFT($P85,30)&amp;"*"),MAXIFS(Investment!$AI:$AI,Investment!$H:$H,LEFT($P85,30)&amp;"*"),),)</f>
        <v/>
      </c>
      <c r="P85" s="172"/>
      <c r="Q85" s="173"/>
      <c r="R85" s="171"/>
    </row>
    <row r="86">
      <c r="A86" s="165">
        <v>43684.0</v>
      </c>
      <c r="B86" s="166" t="s">
        <v>134</v>
      </c>
      <c r="C86" s="167" t="s">
        <v>135</v>
      </c>
      <c r="D86" s="168" t="s">
        <v>280</v>
      </c>
      <c r="E86" s="168">
        <v>-211.0</v>
      </c>
      <c r="F86" s="169">
        <v>4.746</v>
      </c>
      <c r="G86" s="170">
        <v>1001.41</v>
      </c>
      <c r="H86" s="167" t="s">
        <v>565</v>
      </c>
      <c r="I86" s="171">
        <f t="shared" ref="I86:J86" si="88">IFS(AND($B86&lt;&gt;"",$E86&lt;&gt;""),IF(INDEX(N:N,MATCH($C86,$P:$P,0),1)&lt;&gt;"",$E86*INDEX(N:N,MATCH($C86,$P:$P,0),1)+$G86,""),AND($B86&lt;&gt;"",$D86="COST",$G86&lt;0),$G86,TRUE,)</f>
        <v>27.434</v>
      </c>
      <c r="J86" s="171">
        <f t="shared" si="88"/>
        <v>90.43011863</v>
      </c>
      <c r="K86" s="172" t="str">
        <f t="shared" si="3"/>
        <v>iShares Treasury Bond 20+ UCITS</v>
      </c>
      <c r="L86" s="173">
        <f t="shared" si="4"/>
        <v>53253</v>
      </c>
      <c r="M86" s="174">
        <f t="shared" si="5"/>
        <v>-206464.56</v>
      </c>
      <c r="N86" s="176" t="str">
        <f>IF($P86&lt;&gt;"",IF(MAXIFS(Investment!$M:$M,Investment!$H:$H,LEFT($P86,30)&amp;"*"),MAXIFS(Investment!$M:$M,Investment!$H:$H,LEFT($P86,30)&amp;"*"),),)</f>
        <v/>
      </c>
      <c r="O86" s="177" t="str">
        <f>IF($P86&lt;&gt;"",IF(MAXIFS(Investment!$AI:$AI,Investment!$H:$H,LEFT($P86,30)&amp;"*"),MAXIFS(Investment!$AI:$AI,Investment!$H:$H,LEFT($P86,30)&amp;"*"),),)</f>
        <v/>
      </c>
      <c r="P86" s="172"/>
      <c r="Q86" s="173"/>
      <c r="R86" s="171"/>
    </row>
    <row r="87">
      <c r="A87" s="165">
        <v>43684.0</v>
      </c>
      <c r="B87" s="166" t="s">
        <v>134</v>
      </c>
      <c r="C87" s="167" t="s">
        <v>135</v>
      </c>
      <c r="D87" s="168" t="s">
        <v>301</v>
      </c>
      <c r="E87" s="168"/>
      <c r="F87" s="169"/>
      <c r="G87" s="170">
        <v>-2.2</v>
      </c>
      <c r="H87" s="167" t="s">
        <v>353</v>
      </c>
      <c r="I87" s="171">
        <f t="shared" ref="I87:J87" si="89">IFS(AND($B87&lt;&gt;"",$E87&lt;&gt;""),IF(INDEX(N:N,MATCH($C87,$P:$P,0),1)&lt;&gt;"",$E87*INDEX(N:N,MATCH($C87,$P:$P,0),1)+$G87,""),AND($B87&lt;&gt;"",$D87="COST",$G87&lt;0),$G87,TRUE,)</f>
        <v>-2.2</v>
      </c>
      <c r="J87" s="171">
        <f t="shared" si="89"/>
        <v>-2.2</v>
      </c>
      <c r="K87" s="172" t="str">
        <f t="shared" si="3"/>
        <v>iShares Treasury Bond 20+ UCITS</v>
      </c>
      <c r="L87" s="173">
        <f t="shared" si="4"/>
        <v>53253</v>
      </c>
      <c r="M87" s="174">
        <f t="shared" si="5"/>
        <v>-206464.56</v>
      </c>
      <c r="N87" s="176" t="str">
        <f>IF($P87&lt;&gt;"",IF(MAXIFS(Investment!$M:$M,Investment!$H:$H,LEFT($P87,30)&amp;"*"),MAXIFS(Investment!$M:$M,Investment!$H:$H,LEFT($P87,30)&amp;"*"),),)</f>
        <v/>
      </c>
      <c r="O87" s="177" t="str">
        <f>IF($P87&lt;&gt;"",IF(MAXIFS(Investment!$AI:$AI,Investment!$H:$H,LEFT($P87,30)&amp;"*"),MAXIFS(Investment!$AI:$AI,Investment!$H:$H,LEFT($P87,30)&amp;"*"),),)</f>
        <v/>
      </c>
      <c r="P87" s="172"/>
      <c r="Q87" s="173"/>
      <c r="R87" s="171"/>
    </row>
    <row r="88">
      <c r="A88" s="165">
        <v>43684.0</v>
      </c>
      <c r="B88" s="166" t="s">
        <v>134</v>
      </c>
      <c r="C88" s="167" t="s">
        <v>135</v>
      </c>
      <c r="D88" s="168" t="s">
        <v>280</v>
      </c>
      <c r="E88" s="168">
        <v>-212.0</v>
      </c>
      <c r="F88" s="169">
        <v>4.7519</v>
      </c>
      <c r="G88" s="170">
        <v>1007.42</v>
      </c>
      <c r="H88" s="167" t="s">
        <v>566</v>
      </c>
      <c r="I88" s="171">
        <f t="shared" ref="I88:J88" si="90">IFS(AND($B88&lt;&gt;"",$E88&lt;&gt;""),IF(INDEX(N:N,MATCH($C88,$P:$P,0),1)&lt;&gt;"",$E88*INDEX(N:N,MATCH($C88,$P:$P,0),1)+$G88,""),AND($B88&lt;&gt;"",$D88="COST",$G88&lt;0),$G88,TRUE,)</f>
        <v>28.828</v>
      </c>
      <c r="J88" s="171">
        <f t="shared" si="90"/>
        <v>92.12267843</v>
      </c>
      <c r="K88" s="172" t="str">
        <f t="shared" si="3"/>
        <v>iShares Treasury Bond 20+ UCITS</v>
      </c>
      <c r="L88" s="173">
        <f t="shared" si="4"/>
        <v>53253</v>
      </c>
      <c r="M88" s="174">
        <f t="shared" si="5"/>
        <v>-206464.56</v>
      </c>
      <c r="N88" s="176" t="str">
        <f>IF($P88&lt;&gt;"",IF(MAXIFS(Investment!$M:$M,Investment!$H:$H,LEFT($P88,30)&amp;"*"),MAXIFS(Investment!$M:$M,Investment!$H:$H,LEFT($P88,30)&amp;"*"),),)</f>
        <v/>
      </c>
      <c r="O88" s="177" t="str">
        <f>IF($P88&lt;&gt;"",IF(MAXIFS(Investment!$AI:$AI,Investment!$H:$H,LEFT($P88,30)&amp;"*"),MAXIFS(Investment!$AI:$AI,Investment!$H:$H,LEFT($P88,30)&amp;"*"),),)</f>
        <v/>
      </c>
      <c r="P88" s="172"/>
      <c r="Q88" s="173"/>
      <c r="R88" s="171"/>
    </row>
    <row r="89">
      <c r="A89" s="165">
        <v>43684.0</v>
      </c>
      <c r="B89" s="166" t="s">
        <v>134</v>
      </c>
      <c r="C89" s="167" t="s">
        <v>135</v>
      </c>
      <c r="D89" s="168" t="s">
        <v>301</v>
      </c>
      <c r="E89" s="168"/>
      <c r="F89" s="169"/>
      <c r="G89" s="170">
        <v>-2.2</v>
      </c>
      <c r="H89" s="167" t="s">
        <v>353</v>
      </c>
      <c r="I89" s="171">
        <f t="shared" ref="I89:J89" si="91">IFS(AND($B89&lt;&gt;"",$E89&lt;&gt;""),IF(INDEX(N:N,MATCH($C89,$P:$P,0),1)&lt;&gt;"",$E89*INDEX(N:N,MATCH($C89,$P:$P,0),1)+$G89,""),AND($B89&lt;&gt;"",$D89="COST",$G89&lt;0),$G89,TRUE,)</f>
        <v>-2.2</v>
      </c>
      <c r="J89" s="171">
        <f t="shared" si="91"/>
        <v>-2.2</v>
      </c>
      <c r="K89" s="172" t="str">
        <f t="shared" si="3"/>
        <v>iShares Treasury Bond 20+ UCITS</v>
      </c>
      <c r="L89" s="173">
        <f t="shared" si="4"/>
        <v>53253</v>
      </c>
      <c r="M89" s="174">
        <f t="shared" si="5"/>
        <v>-206464.56</v>
      </c>
      <c r="N89" s="176" t="str">
        <f>IF($P89&lt;&gt;"",IF(MAXIFS(Investment!$M:$M,Investment!$H:$H,LEFT($P89,30)&amp;"*"),MAXIFS(Investment!$M:$M,Investment!$H:$H,LEFT($P89,30)&amp;"*"),),)</f>
        <v/>
      </c>
      <c r="O89" s="177" t="str">
        <f>IF($P89&lt;&gt;"",IF(MAXIFS(Investment!$AI:$AI,Investment!$H:$H,LEFT($P89,30)&amp;"*"),MAXIFS(Investment!$AI:$AI,Investment!$H:$H,LEFT($P89,30)&amp;"*"),),)</f>
        <v/>
      </c>
      <c r="P89" s="172"/>
      <c r="Q89" s="173"/>
      <c r="R89" s="171"/>
    </row>
    <row r="90">
      <c r="A90" s="165">
        <v>43684.0</v>
      </c>
      <c r="B90" s="166" t="s">
        <v>134</v>
      </c>
      <c r="C90" s="167" t="s">
        <v>135</v>
      </c>
      <c r="D90" s="168" t="s">
        <v>280</v>
      </c>
      <c r="E90" s="168">
        <v>-212.0</v>
      </c>
      <c r="F90" s="169">
        <v>4.7574</v>
      </c>
      <c r="G90" s="170">
        <v>1008.57</v>
      </c>
      <c r="H90" s="167" t="s">
        <v>567</v>
      </c>
      <c r="I90" s="171">
        <f t="shared" ref="I90:J90" si="92">IFS(AND($B90&lt;&gt;"",$E90&lt;&gt;""),IF(INDEX(N:N,MATCH($C90,$P:$P,0),1)&lt;&gt;"",$E90*INDEX(N:N,MATCH($C90,$P:$P,0),1)+$G90,""),AND($B90&lt;&gt;"",$D90="COST",$G90&lt;0),$G90,TRUE,)</f>
        <v>29.978</v>
      </c>
      <c r="J90" s="171">
        <f t="shared" si="92"/>
        <v>93.27267843</v>
      </c>
      <c r="K90" s="172" t="str">
        <f t="shared" si="3"/>
        <v>iShares Treasury Bond 20+ UCITS</v>
      </c>
      <c r="L90" s="173">
        <f t="shared" si="4"/>
        <v>53253</v>
      </c>
      <c r="M90" s="174">
        <f t="shared" si="5"/>
        <v>-206464.56</v>
      </c>
      <c r="N90" s="176" t="str">
        <f>IF($P90&lt;&gt;"",IF(MAXIFS(Investment!$M:$M,Investment!$H:$H,LEFT($P90,30)&amp;"*"),MAXIFS(Investment!$M:$M,Investment!$H:$H,LEFT($P90,30)&amp;"*"),),)</f>
        <v/>
      </c>
      <c r="O90" s="177" t="str">
        <f>IF($P90&lt;&gt;"",IF(MAXIFS(Investment!$AI:$AI,Investment!$H:$H,LEFT($P90,30)&amp;"*"),MAXIFS(Investment!$AI:$AI,Investment!$H:$H,LEFT($P90,30)&amp;"*"),),)</f>
        <v/>
      </c>
      <c r="P90" s="172"/>
      <c r="Q90" s="173"/>
      <c r="R90" s="171"/>
    </row>
    <row r="91">
      <c r="A91" s="165">
        <v>43684.0</v>
      </c>
      <c r="B91" s="166" t="s">
        <v>134</v>
      </c>
      <c r="C91" s="167" t="s">
        <v>135</v>
      </c>
      <c r="D91" s="168" t="s">
        <v>301</v>
      </c>
      <c r="E91" s="168"/>
      <c r="F91" s="169"/>
      <c r="G91" s="170">
        <v>-2.2</v>
      </c>
      <c r="H91" s="167" t="s">
        <v>353</v>
      </c>
      <c r="I91" s="171">
        <f t="shared" ref="I91:J91" si="93">IFS(AND($B91&lt;&gt;"",$E91&lt;&gt;""),IF(INDEX(N:N,MATCH($C91,$P:$P,0),1)&lt;&gt;"",$E91*INDEX(N:N,MATCH($C91,$P:$P,0),1)+$G91,""),AND($B91&lt;&gt;"",$D91="COST",$G91&lt;0),$G91,TRUE,)</f>
        <v>-2.2</v>
      </c>
      <c r="J91" s="171">
        <f t="shared" si="93"/>
        <v>-2.2</v>
      </c>
      <c r="K91" s="172" t="str">
        <f t="shared" si="3"/>
        <v>iShares Treasury Bond 20+ UCITS</v>
      </c>
      <c r="L91" s="173">
        <f t="shared" si="4"/>
        <v>53253</v>
      </c>
      <c r="M91" s="174">
        <f t="shared" si="5"/>
        <v>-206464.56</v>
      </c>
      <c r="N91" s="176" t="str">
        <f>IF($P91&lt;&gt;"",IF(MAXIFS(Investment!$M:$M,Investment!$H:$H,LEFT($P91,30)&amp;"*"),MAXIFS(Investment!$M:$M,Investment!$H:$H,LEFT($P91,30)&amp;"*"),),)</f>
        <v/>
      </c>
      <c r="O91" s="177" t="str">
        <f>IF($P91&lt;&gt;"",IF(MAXIFS(Investment!$AI:$AI,Investment!$H:$H,LEFT($P91,30)&amp;"*"),MAXIFS(Investment!$AI:$AI,Investment!$H:$H,LEFT($P91,30)&amp;"*"),),)</f>
        <v/>
      </c>
      <c r="P91" s="172"/>
      <c r="Q91" s="173"/>
      <c r="R91" s="171"/>
    </row>
    <row r="92">
      <c r="A92" s="165">
        <v>43684.0</v>
      </c>
      <c r="B92" s="166" t="s">
        <v>122</v>
      </c>
      <c r="C92" s="167" t="s">
        <v>123</v>
      </c>
      <c r="D92" s="168" t="s">
        <v>280</v>
      </c>
      <c r="E92" s="168">
        <v>-8.0</v>
      </c>
      <c r="F92" s="169">
        <v>127.47</v>
      </c>
      <c r="G92" s="170">
        <v>1019.76</v>
      </c>
      <c r="H92" s="167" t="s">
        <v>568</v>
      </c>
      <c r="I92" s="171">
        <f t="shared" ref="I92:J92" si="94">IFS(AND($B92&lt;&gt;"",$E92&lt;&gt;""),IF(INDEX(N:N,MATCH($C92,$P:$P,0),1)&lt;&gt;"",$E92*INDEX(N:N,MATCH($C92,$P:$P,0),1)+$G92,""),AND($B92&lt;&gt;"",$D92="COST",$G92&lt;0),$G92,TRUE,)</f>
        <v>14.8</v>
      </c>
      <c r="J92" s="171">
        <f t="shared" si="94"/>
        <v>92.51043137</v>
      </c>
      <c r="K92" s="283" t="str">
        <f t="shared" si="3"/>
        <v>ETFS Physical Gold</v>
      </c>
      <c r="L92" s="284">
        <f t="shared" si="4"/>
        <v>353</v>
      </c>
      <c r="M92" s="285">
        <f t="shared" si="5"/>
        <v>-33586.49</v>
      </c>
      <c r="N92" s="286" t="str">
        <f>IF($P92&lt;&gt;"",IF(MAXIFS(Investment!$M:$M,Investment!$H:$H,LEFT($P92,30)&amp;"*"),MAXIFS(Investment!$M:$M,Investment!$H:$H,LEFT($P92,30)&amp;"*"),),)</f>
        <v/>
      </c>
      <c r="O92" s="287" t="str">
        <f>IF($P92&lt;&gt;"",IF(MAXIFS(Investment!$AI:$AI,Investment!$H:$H,LEFT($P92,30)&amp;"*"),MAXIFS(Investment!$AI:$AI,Investment!$H:$H,LEFT($P92,30)&amp;"*"),),)</f>
        <v/>
      </c>
      <c r="P92" s="283"/>
      <c r="Q92" s="284"/>
      <c r="R92" s="288"/>
    </row>
    <row r="93">
      <c r="A93" s="165">
        <v>43684.0</v>
      </c>
      <c r="B93" s="166" t="s">
        <v>134</v>
      </c>
      <c r="C93" s="167" t="s">
        <v>135</v>
      </c>
      <c r="D93" s="168" t="s">
        <v>280</v>
      </c>
      <c r="E93" s="168">
        <v>-402.0</v>
      </c>
      <c r="F93" s="169">
        <v>4.7519</v>
      </c>
      <c r="G93" s="170">
        <v>1910.3</v>
      </c>
      <c r="H93" s="167" t="s">
        <v>569</v>
      </c>
      <c r="I93" s="171">
        <f t="shared" ref="I93:J93" si="95">IFS(AND($B93&lt;&gt;"",$E93&lt;&gt;""),IF(INDEX(N:N,MATCH($C93,$P:$P,0),1)&lt;&gt;"",$E93*INDEX(N:N,MATCH($C93,$P:$P,0),1)+$G93,""),AND($B93&lt;&gt;"",$D93="COST",$G93&lt;0),$G93,TRUE,)</f>
        <v>54.668</v>
      </c>
      <c r="J93" s="171">
        <f t="shared" si="95"/>
        <v>174.6890412</v>
      </c>
      <c r="K93" s="283" t="str">
        <f t="shared" si="3"/>
        <v>iShares Treasury Bond 20+ UCITS</v>
      </c>
      <c r="L93" s="284">
        <f t="shared" si="4"/>
        <v>53253</v>
      </c>
      <c r="M93" s="285">
        <f t="shared" si="5"/>
        <v>-206464.56</v>
      </c>
      <c r="N93" s="286" t="str">
        <f>IF($P93&lt;&gt;"",IF(MAXIFS(Investment!$M:$M,Investment!$H:$H,LEFT($P93,30)&amp;"*"),MAXIFS(Investment!$M:$M,Investment!$H:$H,LEFT($P93,30)&amp;"*"),),)</f>
        <v/>
      </c>
      <c r="O93" s="287" t="str">
        <f>IF($P93&lt;&gt;"",IF(MAXIFS(Investment!$AI:$AI,Investment!$H:$H,LEFT($P93,30)&amp;"*"),MAXIFS(Investment!$AI:$AI,Investment!$H:$H,LEFT($P93,30)&amp;"*"),),)</f>
        <v/>
      </c>
      <c r="P93" s="283"/>
      <c r="Q93" s="284"/>
      <c r="R93" s="288"/>
    </row>
    <row r="94">
      <c r="A94" s="165">
        <v>43684.0</v>
      </c>
      <c r="B94" s="166" t="s">
        <v>134</v>
      </c>
      <c r="C94" s="167" t="s">
        <v>135</v>
      </c>
      <c r="D94" s="168" t="s">
        <v>301</v>
      </c>
      <c r="E94" s="168"/>
      <c r="F94" s="169"/>
      <c r="G94" s="170">
        <v>-2.38</v>
      </c>
      <c r="H94" s="167" t="s">
        <v>570</v>
      </c>
      <c r="I94" s="171">
        <f t="shared" ref="I94:J94" si="96">IFS(AND($B94&lt;&gt;"",$E94&lt;&gt;""),IF(INDEX(N:N,MATCH($C94,$P:$P,0),1)&lt;&gt;"",$E94*INDEX(N:N,MATCH($C94,$P:$P,0),1)+$G94,""),AND($B94&lt;&gt;"",$D94="COST",$G94&lt;0),$G94,TRUE,)</f>
        <v>-2.38</v>
      </c>
      <c r="J94" s="171">
        <f t="shared" si="96"/>
        <v>-2.38</v>
      </c>
      <c r="K94" s="283" t="str">
        <f t="shared" si="3"/>
        <v>iShares Treasury Bond 20+ UCITS</v>
      </c>
      <c r="L94" s="284">
        <f t="shared" si="4"/>
        <v>53253</v>
      </c>
      <c r="M94" s="285">
        <f t="shared" si="5"/>
        <v>-206464.56</v>
      </c>
      <c r="N94" s="286" t="str">
        <f>IF($P94&lt;&gt;"",IF(MAXIFS(Investment!$M:$M,Investment!$H:$H,LEFT($P94,30)&amp;"*"),MAXIFS(Investment!$M:$M,Investment!$H:$H,LEFT($P94,30)&amp;"*"),),)</f>
        <v/>
      </c>
      <c r="O94" s="287" t="str">
        <f>IF($P94&lt;&gt;"",IF(MAXIFS(Investment!$AI:$AI,Investment!$H:$H,LEFT($P94,30)&amp;"*"),MAXIFS(Investment!$AI:$AI,Investment!$H:$H,LEFT($P94,30)&amp;"*"),),)</f>
        <v/>
      </c>
      <c r="P94" s="283"/>
      <c r="Q94" s="284"/>
      <c r="R94" s="288"/>
    </row>
    <row r="95">
      <c r="A95" s="165">
        <v>43684.0</v>
      </c>
      <c r="B95" s="166" t="s">
        <v>134</v>
      </c>
      <c r="C95" s="167" t="s">
        <v>135</v>
      </c>
      <c r="D95" s="168" t="s">
        <v>280</v>
      </c>
      <c r="E95" s="168">
        <v>-215.0</v>
      </c>
      <c r="F95" s="169">
        <v>4.74</v>
      </c>
      <c r="G95" s="170">
        <v>1019.1</v>
      </c>
      <c r="H95" s="167" t="s">
        <v>571</v>
      </c>
      <c r="I95" s="171">
        <f t="shared" ref="I95:J95" si="97">IFS(AND($B95&lt;&gt;"",$E95&lt;&gt;""),IF(INDEX(N:N,MATCH($C95,$P:$P,0),1)&lt;&gt;"",$E95*INDEX(N:N,MATCH($C95,$P:$P,0),1)+$G95,""),AND($B95&lt;&gt;"",$D95="COST",$G95&lt;0),$G95,TRUE,)</f>
        <v>26.66</v>
      </c>
      <c r="J95" s="171">
        <f t="shared" si="97"/>
        <v>90.85035784</v>
      </c>
      <c r="K95" s="283" t="str">
        <f t="shared" si="3"/>
        <v>iShares Treasury Bond 20+ UCITS</v>
      </c>
      <c r="L95" s="284">
        <f t="shared" si="4"/>
        <v>53253</v>
      </c>
      <c r="M95" s="285">
        <f t="shared" si="5"/>
        <v>-206464.56</v>
      </c>
      <c r="N95" s="286" t="str">
        <f>IF($P95&lt;&gt;"",IF(MAXIFS(Investment!$M:$M,Investment!$H:$H,LEFT($P95,30)&amp;"*"),MAXIFS(Investment!$M:$M,Investment!$H:$H,LEFT($P95,30)&amp;"*"),),)</f>
        <v/>
      </c>
      <c r="O95" s="287" t="str">
        <f>IF($P95&lt;&gt;"",IF(MAXIFS(Investment!$AI:$AI,Investment!$H:$H,LEFT($P95,30)&amp;"*"),MAXIFS(Investment!$AI:$AI,Investment!$H:$H,LEFT($P95,30)&amp;"*"),),)</f>
        <v/>
      </c>
      <c r="P95" s="283"/>
      <c r="Q95" s="284"/>
      <c r="R95" s="288"/>
    </row>
    <row r="96">
      <c r="A96" s="165">
        <v>43684.0</v>
      </c>
      <c r="B96" s="166" t="s">
        <v>134</v>
      </c>
      <c r="C96" s="167" t="s">
        <v>135</v>
      </c>
      <c r="D96" s="168" t="s">
        <v>301</v>
      </c>
      <c r="E96" s="168"/>
      <c r="F96" s="169"/>
      <c r="G96" s="170">
        <v>-2.2</v>
      </c>
      <c r="H96" s="167" t="s">
        <v>353</v>
      </c>
      <c r="I96" s="171">
        <f t="shared" ref="I96:J96" si="98">IFS(AND($B96&lt;&gt;"",$E96&lt;&gt;""),IF(INDEX(N:N,MATCH($C96,$P:$P,0),1)&lt;&gt;"",$E96*INDEX(N:N,MATCH($C96,$P:$P,0),1)+$G96,""),AND($B96&lt;&gt;"",$D96="COST",$G96&lt;0),$G96,TRUE,)</f>
        <v>-2.2</v>
      </c>
      <c r="J96" s="171">
        <f t="shared" si="98"/>
        <v>-2.2</v>
      </c>
      <c r="K96" s="283" t="str">
        <f t="shared" si="3"/>
        <v>iShares Treasury Bond 20+ UCITS</v>
      </c>
      <c r="L96" s="284">
        <f t="shared" si="4"/>
        <v>53253</v>
      </c>
      <c r="M96" s="285">
        <f t="shared" si="5"/>
        <v>-206464.56</v>
      </c>
      <c r="N96" s="286" t="str">
        <f>IF($P96&lt;&gt;"",IF(MAXIFS(Investment!$M:$M,Investment!$H:$H,LEFT($P96,30)&amp;"*"),MAXIFS(Investment!$M:$M,Investment!$H:$H,LEFT($P96,30)&amp;"*"),),)</f>
        <v/>
      </c>
      <c r="O96" s="287" t="str">
        <f>IF($P96&lt;&gt;"",IF(MAXIFS(Investment!$AI:$AI,Investment!$H:$H,LEFT($P96,30)&amp;"*"),MAXIFS(Investment!$AI:$AI,Investment!$H:$H,LEFT($P96,30)&amp;"*"),),)</f>
        <v/>
      </c>
      <c r="P96" s="283"/>
      <c r="Q96" s="284"/>
      <c r="R96" s="288"/>
    </row>
    <row r="97">
      <c r="A97" s="165">
        <v>43684.0</v>
      </c>
      <c r="B97" s="166" t="s">
        <v>122</v>
      </c>
      <c r="C97" s="167" t="s">
        <v>123</v>
      </c>
      <c r="D97" s="168" t="s">
        <v>280</v>
      </c>
      <c r="E97" s="168">
        <v>-8.0</v>
      </c>
      <c r="F97" s="169">
        <v>126.96</v>
      </c>
      <c r="G97" s="170">
        <v>1015.68</v>
      </c>
      <c r="H97" s="167" t="s">
        <v>572</v>
      </c>
      <c r="I97" s="171">
        <f t="shared" ref="I97:J97" si="99">IFS(AND($B97&lt;&gt;"",$E97&lt;&gt;""),IF(INDEX(N:N,MATCH($C97,$P:$P,0),1)&lt;&gt;"",$E97*INDEX(N:N,MATCH($C97,$P:$P,0),1)+$G97,""),AND($B97&lt;&gt;"",$D97="COST",$G97&lt;0),$G97,TRUE,)</f>
        <v>10.72</v>
      </c>
      <c r="J97" s="171">
        <f t="shared" si="99"/>
        <v>88.43043137</v>
      </c>
      <c r="K97" s="283" t="str">
        <f t="shared" si="3"/>
        <v>ETFS Physical Gold</v>
      </c>
      <c r="L97" s="284">
        <f t="shared" si="4"/>
        <v>353</v>
      </c>
      <c r="M97" s="285">
        <f t="shared" si="5"/>
        <v>-33586.49</v>
      </c>
      <c r="N97" s="286" t="str">
        <f>IF($P97&lt;&gt;"",IF(MAXIFS(Investment!$M:$M,Investment!$H:$H,LEFT($P97,30)&amp;"*"),MAXIFS(Investment!$M:$M,Investment!$H:$H,LEFT($P97,30)&amp;"*"),),)</f>
        <v/>
      </c>
      <c r="O97" s="287" t="str">
        <f>IF($P97&lt;&gt;"",IF(MAXIFS(Investment!$AI:$AI,Investment!$H:$H,LEFT($P97,30)&amp;"*"),MAXIFS(Investment!$AI:$AI,Investment!$H:$H,LEFT($P97,30)&amp;"*"),),)</f>
        <v/>
      </c>
      <c r="P97" s="283"/>
      <c r="Q97" s="284"/>
      <c r="R97" s="288"/>
    </row>
    <row r="98">
      <c r="A98" s="165">
        <v>43684.0</v>
      </c>
      <c r="B98" s="166" t="s">
        <v>134</v>
      </c>
      <c r="C98" s="167" t="s">
        <v>135</v>
      </c>
      <c r="D98" s="168" t="s">
        <v>280</v>
      </c>
      <c r="E98" s="168">
        <v>-332.0</v>
      </c>
      <c r="F98" s="169">
        <v>4.7412</v>
      </c>
      <c r="G98" s="170">
        <v>1574.11</v>
      </c>
      <c r="H98" s="167" t="s">
        <v>573</v>
      </c>
      <c r="I98" s="171">
        <f t="shared" ref="I98:J98" si="100">IFS(AND($B98&lt;&gt;"",$E98&lt;&gt;""),IF(INDEX(N:N,MATCH($C98,$P:$P,0),1)&lt;&gt;"",$E98*INDEX(N:N,MATCH($C98,$P:$P,0),1)+$G98,""),AND($B98&lt;&gt;"",$D98="COST",$G98&lt;0),$G98,TRUE,)</f>
        <v>41.598</v>
      </c>
      <c r="J98" s="171">
        <f t="shared" si="100"/>
        <v>140.7198549</v>
      </c>
      <c r="K98" s="283" t="str">
        <f t="shared" si="3"/>
        <v>iShares Treasury Bond 20+ UCITS</v>
      </c>
      <c r="L98" s="284">
        <f t="shared" si="4"/>
        <v>53253</v>
      </c>
      <c r="M98" s="285">
        <f t="shared" si="5"/>
        <v>-206464.56</v>
      </c>
      <c r="N98" s="286" t="str">
        <f>IF($P98&lt;&gt;"",IF(MAXIFS(Investment!$M:$M,Investment!$H:$H,LEFT($P98,30)&amp;"*"),MAXIFS(Investment!$M:$M,Investment!$H:$H,LEFT($P98,30)&amp;"*"),),)</f>
        <v/>
      </c>
      <c r="O98" s="287" t="str">
        <f>IF($P98&lt;&gt;"",IF(MAXIFS(Investment!$AI:$AI,Investment!$H:$H,LEFT($P98,30)&amp;"*"),MAXIFS(Investment!$AI:$AI,Investment!$H:$H,LEFT($P98,30)&amp;"*"),),)</f>
        <v/>
      </c>
      <c r="P98" s="283"/>
      <c r="Q98" s="284"/>
      <c r="R98" s="288"/>
    </row>
    <row r="99">
      <c r="A99" s="165">
        <v>43684.0</v>
      </c>
      <c r="B99" s="166" t="s">
        <v>134</v>
      </c>
      <c r="C99" s="167" t="s">
        <v>135</v>
      </c>
      <c r="D99" s="168" t="s">
        <v>301</v>
      </c>
      <c r="E99" s="168"/>
      <c r="F99" s="169"/>
      <c r="G99" s="170">
        <v>-2.31</v>
      </c>
      <c r="H99" s="167" t="s">
        <v>574</v>
      </c>
      <c r="I99" s="171">
        <f t="shared" ref="I99:J99" si="101">IFS(AND($B99&lt;&gt;"",$E99&lt;&gt;""),IF(INDEX(N:N,MATCH($C99,$P:$P,0),1)&lt;&gt;"",$E99*INDEX(N:N,MATCH($C99,$P:$P,0),1)+$G99,""),AND($B99&lt;&gt;"",$D99="COST",$G99&lt;0),$G99,TRUE,)</f>
        <v>-2.31</v>
      </c>
      <c r="J99" s="171">
        <f t="shared" si="101"/>
        <v>-2.31</v>
      </c>
      <c r="K99" s="283" t="str">
        <f t="shared" si="3"/>
        <v>iShares Treasury Bond 20+ UCITS</v>
      </c>
      <c r="L99" s="284">
        <f t="shared" si="4"/>
        <v>53253</v>
      </c>
      <c r="M99" s="285">
        <f t="shared" si="5"/>
        <v>-206464.56</v>
      </c>
      <c r="N99" s="286" t="str">
        <f>IF($P99&lt;&gt;"",IF(MAXIFS(Investment!$M:$M,Investment!$H:$H,LEFT($P99,30)&amp;"*"),MAXIFS(Investment!$M:$M,Investment!$H:$H,LEFT($P99,30)&amp;"*"),),)</f>
        <v/>
      </c>
      <c r="O99" s="287" t="str">
        <f>IF($P99&lt;&gt;"",IF(MAXIFS(Investment!$AI:$AI,Investment!$H:$H,LEFT($P99,30)&amp;"*"),MAXIFS(Investment!$AI:$AI,Investment!$H:$H,LEFT($P99,30)&amp;"*"),),)</f>
        <v/>
      </c>
      <c r="P99" s="283"/>
      <c r="Q99" s="284"/>
      <c r="R99" s="288"/>
    </row>
    <row r="100">
      <c r="A100" s="165">
        <v>43684.0</v>
      </c>
      <c r="B100" s="166" t="s">
        <v>134</v>
      </c>
      <c r="C100" s="167" t="s">
        <v>135</v>
      </c>
      <c r="D100" s="168" t="s">
        <v>280</v>
      </c>
      <c r="E100" s="168">
        <v>-213.0</v>
      </c>
      <c r="F100" s="169">
        <v>4.712</v>
      </c>
      <c r="G100" s="170">
        <v>1003.66</v>
      </c>
      <c r="H100" s="167" t="s">
        <v>575</v>
      </c>
      <c r="I100" s="171">
        <f t="shared" ref="I100:J100" si="102">IFS(AND($B100&lt;&gt;"",$E100&lt;&gt;""),IF(INDEX(N:N,MATCH($C100,$P:$P,0),1)&lt;&gt;"",$E100*INDEX(N:N,MATCH($C100,$P:$P,0),1)+$G100,""),AND($B100&lt;&gt;"",$D100="COST",$G100&lt;0),$G100,TRUE,)</f>
        <v>20.452</v>
      </c>
      <c r="J100" s="171">
        <f t="shared" si="102"/>
        <v>84.04523824</v>
      </c>
      <c r="K100" s="283" t="str">
        <f t="shared" si="3"/>
        <v>iShares Treasury Bond 20+ UCITS</v>
      </c>
      <c r="L100" s="284">
        <f t="shared" si="4"/>
        <v>53253</v>
      </c>
      <c r="M100" s="285">
        <f t="shared" si="5"/>
        <v>-206464.56</v>
      </c>
      <c r="N100" s="286" t="str">
        <f>IF($P100&lt;&gt;"",IF(MAXIFS(Investment!$M:$M,Investment!$H:$H,LEFT($P100,30)&amp;"*"),MAXIFS(Investment!$M:$M,Investment!$H:$H,LEFT($P100,30)&amp;"*"),),)</f>
        <v/>
      </c>
      <c r="O100" s="287" t="str">
        <f>IF($P100&lt;&gt;"",IF(MAXIFS(Investment!$AI:$AI,Investment!$H:$H,LEFT($P100,30)&amp;"*"),MAXIFS(Investment!$AI:$AI,Investment!$H:$H,LEFT($P100,30)&amp;"*"),),)</f>
        <v/>
      </c>
      <c r="P100" s="283"/>
      <c r="Q100" s="284"/>
      <c r="R100" s="288"/>
    </row>
    <row r="101">
      <c r="A101" s="165">
        <v>43684.0</v>
      </c>
      <c r="B101" s="166" t="s">
        <v>134</v>
      </c>
      <c r="C101" s="167" t="s">
        <v>135</v>
      </c>
      <c r="D101" s="168" t="s">
        <v>301</v>
      </c>
      <c r="E101" s="168"/>
      <c r="F101" s="169"/>
      <c r="G101" s="170">
        <v>-2.2</v>
      </c>
      <c r="H101" s="167" t="s">
        <v>353</v>
      </c>
      <c r="I101" s="171">
        <f t="shared" ref="I101:J101" si="103">IFS(AND($B101&lt;&gt;"",$E101&lt;&gt;""),IF(INDEX(N:N,MATCH($C101,$P:$P,0),1)&lt;&gt;"",$E101*INDEX(N:N,MATCH($C101,$P:$P,0),1)+$G101,""),AND($B101&lt;&gt;"",$D101="COST",$G101&lt;0),$G101,TRUE,)</f>
        <v>-2.2</v>
      </c>
      <c r="J101" s="171">
        <f t="shared" si="103"/>
        <v>-2.2</v>
      </c>
      <c r="K101" s="283" t="str">
        <f t="shared" si="3"/>
        <v>iShares Treasury Bond 20+ UCITS</v>
      </c>
      <c r="L101" s="284">
        <f t="shared" si="4"/>
        <v>53253</v>
      </c>
      <c r="M101" s="285">
        <f t="shared" si="5"/>
        <v>-206464.56</v>
      </c>
      <c r="N101" s="286" t="str">
        <f>IF($P101&lt;&gt;"",IF(MAXIFS(Investment!$M:$M,Investment!$H:$H,LEFT($P101,30)&amp;"*"),MAXIFS(Investment!$M:$M,Investment!$H:$H,LEFT($P101,30)&amp;"*"),),)</f>
        <v/>
      </c>
      <c r="O101" s="287" t="str">
        <f>IF($P101&lt;&gt;"",IF(MAXIFS(Investment!$AI:$AI,Investment!$H:$H,LEFT($P101,30)&amp;"*"),MAXIFS(Investment!$AI:$AI,Investment!$H:$H,LEFT($P101,30)&amp;"*"),),)</f>
        <v/>
      </c>
      <c r="P101" s="283"/>
      <c r="Q101" s="284"/>
      <c r="R101" s="288"/>
    </row>
    <row r="102">
      <c r="A102" s="165">
        <v>43684.0</v>
      </c>
      <c r="B102" s="166" t="s">
        <v>134</v>
      </c>
      <c r="C102" s="167" t="s">
        <v>135</v>
      </c>
      <c r="D102" s="168" t="s">
        <v>280</v>
      </c>
      <c r="E102" s="168">
        <v>-213.0</v>
      </c>
      <c r="F102" s="169">
        <v>4.7072</v>
      </c>
      <c r="G102" s="170">
        <v>1002.65</v>
      </c>
      <c r="H102" s="167" t="s">
        <v>576</v>
      </c>
      <c r="I102" s="171">
        <f t="shared" ref="I102:J102" si="104">IFS(AND($B102&lt;&gt;"",$E102&lt;&gt;""),IF(INDEX(N:N,MATCH($C102,$P:$P,0),1)&lt;&gt;"",$E102*INDEX(N:N,MATCH($C102,$P:$P,0),1)+$G102,""),AND($B102&lt;&gt;"",$D102="COST",$G102&lt;0),$G102,TRUE,)</f>
        <v>19.442</v>
      </c>
      <c r="J102" s="171">
        <f t="shared" si="104"/>
        <v>83.03523824</v>
      </c>
      <c r="K102" s="283" t="str">
        <f t="shared" si="3"/>
        <v>iShares Treasury Bond 20+ UCITS</v>
      </c>
      <c r="L102" s="284">
        <f t="shared" si="4"/>
        <v>53253</v>
      </c>
      <c r="M102" s="285">
        <f t="shared" si="5"/>
        <v>-206464.56</v>
      </c>
      <c r="N102" s="286" t="str">
        <f>IF($P102&lt;&gt;"",IF(MAXIFS(Investment!$M:$M,Investment!$H:$H,LEFT($P102,30)&amp;"*"),MAXIFS(Investment!$M:$M,Investment!$H:$H,LEFT($P102,30)&amp;"*"),),)</f>
        <v/>
      </c>
      <c r="O102" s="287" t="str">
        <f>IF($P102&lt;&gt;"",IF(MAXIFS(Investment!$AI:$AI,Investment!$H:$H,LEFT($P102,30)&amp;"*"),MAXIFS(Investment!$AI:$AI,Investment!$H:$H,LEFT($P102,30)&amp;"*"),),)</f>
        <v/>
      </c>
      <c r="P102" s="283"/>
      <c r="Q102" s="284"/>
      <c r="R102" s="288"/>
    </row>
    <row r="103">
      <c r="A103" s="165">
        <v>43684.0</v>
      </c>
      <c r="B103" s="166" t="s">
        <v>134</v>
      </c>
      <c r="C103" s="167" t="s">
        <v>135</v>
      </c>
      <c r="D103" s="168" t="s">
        <v>301</v>
      </c>
      <c r="E103" s="168"/>
      <c r="F103" s="169"/>
      <c r="G103" s="170">
        <v>-2.2</v>
      </c>
      <c r="H103" s="167" t="s">
        <v>353</v>
      </c>
      <c r="I103" s="171">
        <f t="shared" ref="I103:J103" si="105">IFS(AND($B103&lt;&gt;"",$E103&lt;&gt;""),IF(INDEX(N:N,MATCH($C103,$P:$P,0),1)&lt;&gt;"",$E103*INDEX(N:N,MATCH($C103,$P:$P,0),1)+$G103,""),AND($B103&lt;&gt;"",$D103="COST",$G103&lt;0),$G103,TRUE,)</f>
        <v>-2.2</v>
      </c>
      <c r="J103" s="171">
        <f t="shared" si="105"/>
        <v>-2.2</v>
      </c>
      <c r="K103" s="283" t="str">
        <f t="shared" si="3"/>
        <v>iShares Treasury Bond 20+ UCITS</v>
      </c>
      <c r="L103" s="284">
        <f t="shared" si="4"/>
        <v>53253</v>
      </c>
      <c r="M103" s="285">
        <f t="shared" si="5"/>
        <v>-206464.56</v>
      </c>
      <c r="N103" s="286" t="str">
        <f>IF($P103&lt;&gt;"",IF(MAXIFS(Investment!$M:$M,Investment!$H:$H,LEFT($P103,30)&amp;"*"),MAXIFS(Investment!$M:$M,Investment!$H:$H,LEFT($P103,30)&amp;"*"),),)</f>
        <v/>
      </c>
      <c r="O103" s="287" t="str">
        <f>IF($P103&lt;&gt;"",IF(MAXIFS(Investment!$AI:$AI,Investment!$H:$H,LEFT($P103,30)&amp;"*"),MAXIFS(Investment!$AI:$AI,Investment!$H:$H,LEFT($P103,30)&amp;"*"),),)</f>
        <v/>
      </c>
      <c r="P103" s="283"/>
      <c r="Q103" s="284"/>
      <c r="R103" s="288"/>
    </row>
    <row r="104">
      <c r="A104" s="165">
        <v>43684.0</v>
      </c>
      <c r="B104" s="166" t="s">
        <v>134</v>
      </c>
      <c r="C104" s="167" t="s">
        <v>135</v>
      </c>
      <c r="D104" s="168" t="s">
        <v>280</v>
      </c>
      <c r="E104" s="168">
        <v>-213.0</v>
      </c>
      <c r="F104" s="169">
        <v>4.7082</v>
      </c>
      <c r="G104" s="170">
        <v>1002.85</v>
      </c>
      <c r="H104" s="167" t="s">
        <v>577</v>
      </c>
      <c r="I104" s="171">
        <f t="shared" ref="I104:J104" si="106">IFS(AND($B104&lt;&gt;"",$E104&lt;&gt;""),IF(INDEX(N:N,MATCH($C104,$P:$P,0),1)&lt;&gt;"",$E104*INDEX(N:N,MATCH($C104,$P:$P,0),1)+$G104,""),AND($B104&lt;&gt;"",$D104="COST",$G104&lt;0),$G104,TRUE,)</f>
        <v>19.642</v>
      </c>
      <c r="J104" s="171">
        <f t="shared" si="106"/>
        <v>83.23523824</v>
      </c>
      <c r="K104" s="283" t="str">
        <f t="shared" si="3"/>
        <v>iShares Treasury Bond 20+ UCITS</v>
      </c>
      <c r="L104" s="284">
        <f t="shared" si="4"/>
        <v>53253</v>
      </c>
      <c r="M104" s="285">
        <f t="shared" si="5"/>
        <v>-206464.56</v>
      </c>
      <c r="N104" s="286" t="str">
        <f>IF($P104&lt;&gt;"",IF(MAXIFS(Investment!$M:$M,Investment!$H:$H,LEFT($P104,30)&amp;"*"),MAXIFS(Investment!$M:$M,Investment!$H:$H,LEFT($P104,30)&amp;"*"),),)</f>
        <v/>
      </c>
      <c r="O104" s="287" t="str">
        <f>IF($P104&lt;&gt;"",IF(MAXIFS(Investment!$AI:$AI,Investment!$H:$H,LEFT($P104,30)&amp;"*"),MAXIFS(Investment!$AI:$AI,Investment!$H:$H,LEFT($P104,30)&amp;"*"),),)</f>
        <v/>
      </c>
      <c r="P104" s="283"/>
      <c r="Q104" s="284"/>
      <c r="R104" s="288"/>
    </row>
    <row r="105">
      <c r="A105" s="165">
        <v>43684.0</v>
      </c>
      <c r="B105" s="166" t="s">
        <v>134</v>
      </c>
      <c r="C105" s="167" t="s">
        <v>135</v>
      </c>
      <c r="D105" s="168" t="s">
        <v>301</v>
      </c>
      <c r="E105" s="168"/>
      <c r="F105" s="169"/>
      <c r="G105" s="170">
        <v>-2.2</v>
      </c>
      <c r="H105" s="167" t="s">
        <v>353</v>
      </c>
      <c r="I105" s="171">
        <f t="shared" ref="I105:J105" si="107">IFS(AND($B105&lt;&gt;"",$E105&lt;&gt;""),IF(INDEX(N:N,MATCH($C105,$P:$P,0),1)&lt;&gt;"",$E105*INDEX(N:N,MATCH($C105,$P:$P,0),1)+$G105,""),AND($B105&lt;&gt;"",$D105="COST",$G105&lt;0),$G105,TRUE,)</f>
        <v>-2.2</v>
      </c>
      <c r="J105" s="171">
        <f t="shared" si="107"/>
        <v>-2.2</v>
      </c>
      <c r="K105" s="283" t="str">
        <f t="shared" si="3"/>
        <v>iShares Treasury Bond 20+ UCITS</v>
      </c>
      <c r="L105" s="284">
        <f t="shared" si="4"/>
        <v>53253</v>
      </c>
      <c r="M105" s="285">
        <f t="shared" si="5"/>
        <v>-206464.56</v>
      </c>
      <c r="N105" s="286" t="str">
        <f>IF($P105&lt;&gt;"",IF(MAXIFS(Investment!$M:$M,Investment!$H:$H,LEFT($P105,30)&amp;"*"),MAXIFS(Investment!$M:$M,Investment!$H:$H,LEFT($P105,30)&amp;"*"),),)</f>
        <v/>
      </c>
      <c r="O105" s="287" t="str">
        <f>IF($P105&lt;&gt;"",IF(MAXIFS(Investment!$AI:$AI,Investment!$H:$H,LEFT($P105,30)&amp;"*"),MAXIFS(Investment!$AI:$AI,Investment!$H:$H,LEFT($P105,30)&amp;"*"),),)</f>
        <v/>
      </c>
      <c r="P105" s="283"/>
      <c r="Q105" s="284"/>
      <c r="R105" s="288"/>
    </row>
    <row r="106">
      <c r="A106" s="165">
        <v>43684.0</v>
      </c>
      <c r="B106" s="166" t="s">
        <v>134</v>
      </c>
      <c r="C106" s="167" t="s">
        <v>135</v>
      </c>
      <c r="D106" s="168" t="s">
        <v>280</v>
      </c>
      <c r="E106" s="168">
        <v>-213.0</v>
      </c>
      <c r="F106" s="169">
        <v>4.704</v>
      </c>
      <c r="G106" s="170">
        <v>1001.97</v>
      </c>
      <c r="H106" s="167" t="s">
        <v>578</v>
      </c>
      <c r="I106" s="171">
        <f t="shared" ref="I106:J106" si="108">IFS(AND($B106&lt;&gt;"",$E106&lt;&gt;""),IF(INDEX(N:N,MATCH($C106,$P:$P,0),1)&lt;&gt;"",$E106*INDEX(N:N,MATCH($C106,$P:$P,0),1)+$G106,""),AND($B106&lt;&gt;"",$D106="COST",$G106&lt;0),$G106,TRUE,)</f>
        <v>18.762</v>
      </c>
      <c r="J106" s="171">
        <f t="shared" si="108"/>
        <v>82.35523824</v>
      </c>
      <c r="K106" s="283" t="str">
        <f t="shared" si="3"/>
        <v>iShares Treasury Bond 20+ UCITS</v>
      </c>
      <c r="L106" s="284">
        <f t="shared" si="4"/>
        <v>53253</v>
      </c>
      <c r="M106" s="285">
        <f t="shared" si="5"/>
        <v>-206464.56</v>
      </c>
      <c r="N106" s="286" t="str">
        <f>IF($P106&lt;&gt;"",IF(MAXIFS(Investment!$M:$M,Investment!$H:$H,LEFT($P106,30)&amp;"*"),MAXIFS(Investment!$M:$M,Investment!$H:$H,LEFT($P106,30)&amp;"*"),),)</f>
        <v/>
      </c>
      <c r="O106" s="287" t="str">
        <f>IF($P106&lt;&gt;"",IF(MAXIFS(Investment!$AI:$AI,Investment!$H:$H,LEFT($P106,30)&amp;"*"),MAXIFS(Investment!$AI:$AI,Investment!$H:$H,LEFT($P106,30)&amp;"*"),),)</f>
        <v/>
      </c>
      <c r="P106" s="283"/>
      <c r="Q106" s="284"/>
      <c r="R106" s="288"/>
    </row>
    <row r="107">
      <c r="A107" s="165">
        <v>43684.0</v>
      </c>
      <c r="B107" s="166" t="s">
        <v>134</v>
      </c>
      <c r="C107" s="167" t="s">
        <v>135</v>
      </c>
      <c r="D107" s="168" t="s">
        <v>301</v>
      </c>
      <c r="E107" s="168"/>
      <c r="F107" s="169"/>
      <c r="G107" s="170">
        <v>-2.2</v>
      </c>
      <c r="H107" s="167" t="s">
        <v>353</v>
      </c>
      <c r="I107" s="171">
        <f t="shared" ref="I107:J107" si="109">IFS(AND($B107&lt;&gt;"",$E107&lt;&gt;""),IF(INDEX(N:N,MATCH($C107,$P:$P,0),1)&lt;&gt;"",$E107*INDEX(N:N,MATCH($C107,$P:$P,0),1)+$G107,""),AND($B107&lt;&gt;"",$D107="COST",$G107&lt;0),$G107,TRUE,)</f>
        <v>-2.2</v>
      </c>
      <c r="J107" s="171">
        <f t="shared" si="109"/>
        <v>-2.2</v>
      </c>
      <c r="K107" s="283" t="str">
        <f t="shared" si="3"/>
        <v>iShares Treasury Bond 20+ UCITS</v>
      </c>
      <c r="L107" s="284">
        <f t="shared" si="4"/>
        <v>53253</v>
      </c>
      <c r="M107" s="285">
        <f t="shared" si="5"/>
        <v>-206464.56</v>
      </c>
      <c r="N107" s="286" t="str">
        <f>IF($P107&lt;&gt;"",IF(MAXIFS(Investment!$M:$M,Investment!$H:$H,LEFT($P107,30)&amp;"*"),MAXIFS(Investment!$M:$M,Investment!$H:$H,LEFT($P107,30)&amp;"*"),),)</f>
        <v/>
      </c>
      <c r="O107" s="287" t="str">
        <f>IF($P107&lt;&gt;"",IF(MAXIFS(Investment!$AI:$AI,Investment!$H:$H,LEFT($P107,30)&amp;"*"),MAXIFS(Investment!$AI:$AI,Investment!$H:$H,LEFT($P107,30)&amp;"*"),),)</f>
        <v/>
      </c>
      <c r="P107" s="283"/>
      <c r="Q107" s="284"/>
      <c r="R107" s="288"/>
    </row>
    <row r="108">
      <c r="A108" s="165">
        <v>43682.0</v>
      </c>
      <c r="B108" s="166" t="s">
        <v>134</v>
      </c>
      <c r="C108" s="167" t="s">
        <v>135</v>
      </c>
      <c r="D108" s="168" t="s">
        <v>280</v>
      </c>
      <c r="E108" s="168">
        <v>-435.0</v>
      </c>
      <c r="F108" s="169">
        <v>4.653</v>
      </c>
      <c r="G108" s="170">
        <v>2023.97</v>
      </c>
      <c r="H108" s="167" t="s">
        <v>579</v>
      </c>
      <c r="I108" s="171">
        <f t="shared" ref="I108:J108" si="110">IFS(AND($B108&lt;&gt;"",$E108&lt;&gt;""),IF(INDEX(N:N,MATCH($C108,$P:$P,0),1)&lt;&gt;"",$E108*INDEX(N:N,MATCH($C108,$P:$P,0),1)+$G108,""),AND($B108&lt;&gt;"",$D108="COST",$G108&lt;0),$G108,TRUE,)</f>
        <v>16.01</v>
      </c>
      <c r="J108" s="171">
        <f t="shared" si="110"/>
        <v>145.8835147</v>
      </c>
      <c r="K108" s="283" t="str">
        <f t="shared" si="3"/>
        <v>iShares Treasury Bond 20+ UCITS</v>
      </c>
      <c r="L108" s="284">
        <f t="shared" si="4"/>
        <v>53253</v>
      </c>
      <c r="M108" s="285">
        <f t="shared" si="5"/>
        <v>-206464.56</v>
      </c>
      <c r="N108" s="286" t="str">
        <f>IF($P108&lt;&gt;"",IF(MAXIFS(Investment!$M:$M,Investment!$H:$H,LEFT($P108,30)&amp;"*"),MAXIFS(Investment!$M:$M,Investment!$H:$H,LEFT($P108,30)&amp;"*"),),)</f>
        <v/>
      </c>
      <c r="O108" s="287" t="str">
        <f>IF($P108&lt;&gt;"",IF(MAXIFS(Investment!$AI:$AI,Investment!$H:$H,LEFT($P108,30)&amp;"*"),MAXIFS(Investment!$AI:$AI,Investment!$H:$H,LEFT($P108,30)&amp;"*"),),)</f>
        <v/>
      </c>
      <c r="P108" s="283"/>
      <c r="Q108" s="284"/>
      <c r="R108" s="288"/>
    </row>
    <row r="109">
      <c r="A109" s="165">
        <v>43682.0</v>
      </c>
      <c r="B109" s="166" t="s">
        <v>134</v>
      </c>
      <c r="C109" s="167" t="s">
        <v>135</v>
      </c>
      <c r="D109" s="168" t="s">
        <v>301</v>
      </c>
      <c r="E109" s="168"/>
      <c r="F109" s="169"/>
      <c r="G109" s="170">
        <v>-2.41</v>
      </c>
      <c r="H109" s="167" t="s">
        <v>580</v>
      </c>
      <c r="I109" s="171">
        <f t="shared" ref="I109:J109" si="111">IFS(AND($B109&lt;&gt;"",$E109&lt;&gt;""),IF(INDEX(N:N,MATCH($C109,$P:$P,0),1)&lt;&gt;"",$E109*INDEX(N:N,MATCH($C109,$P:$P,0),1)+$G109,""),AND($B109&lt;&gt;"",$D109="COST",$G109&lt;0),$G109,TRUE,)</f>
        <v>-2.41</v>
      </c>
      <c r="J109" s="171">
        <f t="shared" si="111"/>
        <v>-2.41</v>
      </c>
      <c r="K109" s="283" t="str">
        <f t="shared" si="3"/>
        <v>iShares Treasury Bond 20+ UCITS</v>
      </c>
      <c r="L109" s="284">
        <f t="shared" si="4"/>
        <v>53253</v>
      </c>
      <c r="M109" s="285">
        <f t="shared" si="5"/>
        <v>-206464.56</v>
      </c>
      <c r="N109" s="286" t="str">
        <f>IF($P109&lt;&gt;"",IF(MAXIFS(Investment!$M:$M,Investment!$H:$H,LEFT($P109,30)&amp;"*"),MAXIFS(Investment!$M:$M,Investment!$H:$H,LEFT($P109,30)&amp;"*"),),)</f>
        <v/>
      </c>
      <c r="O109" s="287" t="str">
        <f>IF($P109&lt;&gt;"",IF(MAXIFS(Investment!$AI:$AI,Investment!$H:$H,LEFT($P109,30)&amp;"*"),MAXIFS(Investment!$AI:$AI,Investment!$H:$H,LEFT($P109,30)&amp;"*"),),)</f>
        <v/>
      </c>
      <c r="P109" s="283"/>
      <c r="Q109" s="284"/>
      <c r="R109" s="288"/>
    </row>
    <row r="110">
      <c r="A110" s="165">
        <v>43682.0</v>
      </c>
      <c r="B110" s="166" t="s">
        <v>122</v>
      </c>
      <c r="C110" s="167" t="s">
        <v>123</v>
      </c>
      <c r="D110" s="168" t="s">
        <v>280</v>
      </c>
      <c r="E110" s="168">
        <v>-9.0</v>
      </c>
      <c r="F110" s="169">
        <v>124.85</v>
      </c>
      <c r="G110" s="170">
        <v>1123.65</v>
      </c>
      <c r="H110" s="167" t="s">
        <v>581</v>
      </c>
      <c r="I110" s="171">
        <f t="shared" ref="I110:J110" si="112">IFS(AND($B110&lt;&gt;"",$E110&lt;&gt;""),IF(INDEX(N:N,MATCH($C110,$P:$P,0),1)&lt;&gt;"",$E110*INDEX(N:N,MATCH($C110,$P:$P,0),1)+$G110,""),AND($B110&lt;&gt;"",$D110="COST",$G110&lt;0),$G110,TRUE,)</f>
        <v>-6.93</v>
      </c>
      <c r="J110" s="171">
        <f t="shared" si="112"/>
        <v>80.49423529</v>
      </c>
      <c r="K110" s="283" t="str">
        <f t="shared" si="3"/>
        <v>ETFS Physical Gold</v>
      </c>
      <c r="L110" s="284">
        <f t="shared" si="4"/>
        <v>353</v>
      </c>
      <c r="M110" s="285">
        <f t="shared" si="5"/>
        <v>-33586.49</v>
      </c>
      <c r="N110" s="286" t="str">
        <f>IF($P110&lt;&gt;"",IF(MAXIFS(Investment!$M:$M,Investment!$H:$H,LEFT($P110,30)&amp;"*"),MAXIFS(Investment!$M:$M,Investment!$H:$H,LEFT($P110,30)&amp;"*"),),)</f>
        <v/>
      </c>
      <c r="O110" s="287" t="str">
        <f>IF($P110&lt;&gt;"",IF(MAXIFS(Investment!$AI:$AI,Investment!$H:$H,LEFT($P110,30)&amp;"*"),MAXIFS(Investment!$AI:$AI,Investment!$H:$H,LEFT($P110,30)&amp;"*"),),)</f>
        <v/>
      </c>
      <c r="P110" s="283"/>
      <c r="Q110" s="284"/>
      <c r="R110" s="288"/>
    </row>
    <row r="111">
      <c r="A111" s="165">
        <v>43682.0</v>
      </c>
      <c r="B111" s="166" t="s">
        <v>122</v>
      </c>
      <c r="C111" s="167" t="s">
        <v>123</v>
      </c>
      <c r="D111" s="168" t="s">
        <v>280</v>
      </c>
      <c r="E111" s="168">
        <v>-9.0</v>
      </c>
      <c r="F111" s="169">
        <v>124.71</v>
      </c>
      <c r="G111" s="170">
        <v>1122.39</v>
      </c>
      <c r="H111" s="167" t="s">
        <v>582</v>
      </c>
      <c r="I111" s="171">
        <f t="shared" ref="I111:J111" si="113">IFS(AND($B111&lt;&gt;"",$E111&lt;&gt;""),IF(INDEX(N:N,MATCH($C111,$P:$P,0),1)&lt;&gt;"",$E111*INDEX(N:N,MATCH($C111,$P:$P,0),1)+$G111,""),AND($B111&lt;&gt;"",$D111="COST",$G111&lt;0),$G111,TRUE,)</f>
        <v>-8.19</v>
      </c>
      <c r="J111" s="171">
        <f t="shared" si="113"/>
        <v>79.23423529</v>
      </c>
      <c r="K111" s="283" t="str">
        <f t="shared" si="3"/>
        <v>ETFS Physical Gold</v>
      </c>
      <c r="L111" s="284">
        <f t="shared" si="4"/>
        <v>353</v>
      </c>
      <c r="M111" s="285">
        <f t="shared" si="5"/>
        <v>-33586.49</v>
      </c>
      <c r="N111" s="286" t="str">
        <f>IF($P111&lt;&gt;"",IF(MAXIFS(Investment!$M:$M,Investment!$H:$H,LEFT($P111,30)&amp;"*"),MAXIFS(Investment!$M:$M,Investment!$H:$H,LEFT($P111,30)&amp;"*"),),)</f>
        <v/>
      </c>
      <c r="O111" s="287" t="str">
        <f>IF($P111&lt;&gt;"",IF(MAXIFS(Investment!$AI:$AI,Investment!$H:$H,LEFT($P111,30)&amp;"*"),MAXIFS(Investment!$AI:$AI,Investment!$H:$H,LEFT($P111,30)&amp;"*"),),)</f>
        <v/>
      </c>
      <c r="P111" s="283"/>
      <c r="Q111" s="284"/>
      <c r="R111" s="288"/>
    </row>
    <row r="112">
      <c r="A112" s="165">
        <v>43682.0</v>
      </c>
      <c r="B112" s="166" t="s">
        <v>122</v>
      </c>
      <c r="C112" s="167" t="s">
        <v>123</v>
      </c>
      <c r="D112" s="168" t="s">
        <v>280</v>
      </c>
      <c r="E112" s="168">
        <v>-9.0</v>
      </c>
      <c r="F112" s="169">
        <v>124.71</v>
      </c>
      <c r="G112" s="170">
        <v>1122.39</v>
      </c>
      <c r="H112" s="167" t="s">
        <v>582</v>
      </c>
      <c r="I112" s="171">
        <f t="shared" ref="I112:J112" si="114">IFS(AND($B112&lt;&gt;"",$E112&lt;&gt;""),IF(INDEX(N:N,MATCH($C112,$P:$P,0),1)&lt;&gt;"",$E112*INDEX(N:N,MATCH($C112,$P:$P,0),1)+$G112,""),AND($B112&lt;&gt;"",$D112="COST",$G112&lt;0),$G112,TRUE,)</f>
        <v>-8.19</v>
      </c>
      <c r="J112" s="171">
        <f t="shared" si="114"/>
        <v>79.23423529</v>
      </c>
      <c r="K112" s="283" t="str">
        <f t="shared" si="3"/>
        <v>ETFS Physical Gold</v>
      </c>
      <c r="L112" s="284">
        <f t="shared" si="4"/>
        <v>353</v>
      </c>
      <c r="M112" s="285">
        <f t="shared" si="5"/>
        <v>-33586.49</v>
      </c>
      <c r="N112" s="286" t="str">
        <f>IF($P112&lt;&gt;"",IF(MAXIFS(Investment!$M:$M,Investment!$H:$H,LEFT($P112,30)&amp;"*"),MAXIFS(Investment!$M:$M,Investment!$H:$H,LEFT($P112,30)&amp;"*"),),)</f>
        <v/>
      </c>
      <c r="O112" s="287" t="str">
        <f>IF($P112&lt;&gt;"",IF(MAXIFS(Investment!$AI:$AI,Investment!$H:$H,LEFT($P112,30)&amp;"*"),MAXIFS(Investment!$AI:$AI,Investment!$H:$H,LEFT($P112,30)&amp;"*"),),)</f>
        <v/>
      </c>
      <c r="P112" s="283"/>
      <c r="Q112" s="284"/>
      <c r="R112" s="288"/>
    </row>
    <row r="113">
      <c r="A113" s="165">
        <v>43682.0</v>
      </c>
      <c r="B113" s="166" t="s">
        <v>134</v>
      </c>
      <c r="C113" s="167" t="s">
        <v>135</v>
      </c>
      <c r="D113" s="168" t="s">
        <v>280</v>
      </c>
      <c r="E113" s="168">
        <v>-223.0</v>
      </c>
      <c r="F113" s="169">
        <v>4.656</v>
      </c>
      <c r="G113" s="170">
        <v>1038.29</v>
      </c>
      <c r="H113" s="167" t="s">
        <v>583</v>
      </c>
      <c r="I113" s="171">
        <f t="shared" ref="I113:J113" si="115">IFS(AND($B113&lt;&gt;"",$E113&lt;&gt;""),IF(INDEX(N:N,MATCH($C113,$P:$P,0),1)&lt;&gt;"",$E113*INDEX(N:N,MATCH($C113,$P:$P,0),1)+$G113,""),AND($B113&lt;&gt;"",$D113="COST",$G113&lt;0),$G113,TRUE,)</f>
        <v>8.922</v>
      </c>
      <c r="J113" s="171">
        <f t="shared" si="115"/>
        <v>75.50083627</v>
      </c>
      <c r="K113" s="283" t="str">
        <f t="shared" si="3"/>
        <v>iShares Treasury Bond 20+ UCITS</v>
      </c>
      <c r="L113" s="284">
        <f t="shared" si="4"/>
        <v>53253</v>
      </c>
      <c r="M113" s="285">
        <f t="shared" si="5"/>
        <v>-206464.56</v>
      </c>
      <c r="N113" s="286" t="str">
        <f>IF($P113&lt;&gt;"",IF(MAXIFS(Investment!$M:$M,Investment!$H:$H,LEFT($P113,30)&amp;"*"),MAXIFS(Investment!$M:$M,Investment!$H:$H,LEFT($P113,30)&amp;"*"),),)</f>
        <v/>
      </c>
      <c r="O113" s="287" t="str">
        <f>IF($P113&lt;&gt;"",IF(MAXIFS(Investment!$AI:$AI,Investment!$H:$H,LEFT($P113,30)&amp;"*"),MAXIFS(Investment!$AI:$AI,Investment!$H:$H,LEFT($P113,30)&amp;"*"),),)</f>
        <v/>
      </c>
      <c r="P113" s="283"/>
      <c r="Q113" s="284"/>
      <c r="R113" s="288"/>
    </row>
    <row r="114">
      <c r="A114" s="165">
        <v>43682.0</v>
      </c>
      <c r="B114" s="166" t="s">
        <v>134</v>
      </c>
      <c r="C114" s="167" t="s">
        <v>135</v>
      </c>
      <c r="D114" s="168" t="s">
        <v>301</v>
      </c>
      <c r="E114" s="168"/>
      <c r="F114" s="169"/>
      <c r="G114" s="170">
        <v>-2.21</v>
      </c>
      <c r="H114" s="167" t="s">
        <v>584</v>
      </c>
      <c r="I114" s="171">
        <f t="shared" ref="I114:J114" si="116">IFS(AND($B114&lt;&gt;"",$E114&lt;&gt;""),IF(INDEX(N:N,MATCH($C114,$P:$P,0),1)&lt;&gt;"",$E114*INDEX(N:N,MATCH($C114,$P:$P,0),1)+$G114,""),AND($B114&lt;&gt;"",$D114="COST",$G114&lt;0),$G114,TRUE,)</f>
        <v>-2.21</v>
      </c>
      <c r="J114" s="171">
        <f t="shared" si="116"/>
        <v>-2.21</v>
      </c>
      <c r="K114" s="283" t="str">
        <f t="shared" si="3"/>
        <v>iShares Treasury Bond 20+ UCITS</v>
      </c>
      <c r="L114" s="284">
        <f t="shared" si="4"/>
        <v>53253</v>
      </c>
      <c r="M114" s="285">
        <f t="shared" si="5"/>
        <v>-206464.56</v>
      </c>
      <c r="N114" s="286" t="str">
        <f>IF($P114&lt;&gt;"",IF(MAXIFS(Investment!$M:$M,Investment!$H:$H,LEFT($P114,30)&amp;"*"),MAXIFS(Investment!$M:$M,Investment!$H:$H,LEFT($P114,30)&amp;"*"),),)</f>
        <v/>
      </c>
      <c r="O114" s="287" t="str">
        <f>IF($P114&lt;&gt;"",IF(MAXIFS(Investment!$AI:$AI,Investment!$H:$H,LEFT($P114,30)&amp;"*"),MAXIFS(Investment!$AI:$AI,Investment!$H:$H,LEFT($P114,30)&amp;"*"),),)</f>
        <v/>
      </c>
      <c r="P114" s="283"/>
      <c r="Q114" s="284"/>
      <c r="R114" s="288"/>
    </row>
    <row r="115">
      <c r="A115" s="165">
        <v>43682.0</v>
      </c>
      <c r="B115" s="166" t="s">
        <v>134</v>
      </c>
      <c r="C115" s="167" t="s">
        <v>135</v>
      </c>
      <c r="D115" s="168" t="s">
        <v>280</v>
      </c>
      <c r="E115" s="168">
        <v>-219.0</v>
      </c>
      <c r="F115" s="169">
        <v>4.651</v>
      </c>
      <c r="G115" s="170">
        <v>1018.57</v>
      </c>
      <c r="H115" s="167" t="s">
        <v>585</v>
      </c>
      <c r="I115" s="171">
        <f t="shared" ref="I115:J115" si="117">IFS(AND($B115&lt;&gt;"",$E115&lt;&gt;""),IF(INDEX(N:N,MATCH($C115,$P:$P,0),1)&lt;&gt;"",$E115*INDEX(N:N,MATCH($C115,$P:$P,0),1)+$G115,""),AND($B115&lt;&gt;"",$D115="COST",$G115&lt;0),$G115,TRUE,)</f>
        <v>7.666</v>
      </c>
      <c r="J115" s="171">
        <f t="shared" si="117"/>
        <v>73.05059706</v>
      </c>
      <c r="K115" s="283" t="str">
        <f t="shared" si="3"/>
        <v>iShares Treasury Bond 20+ UCITS</v>
      </c>
      <c r="L115" s="284">
        <f t="shared" si="4"/>
        <v>53253</v>
      </c>
      <c r="M115" s="285">
        <f t="shared" si="5"/>
        <v>-206464.56</v>
      </c>
      <c r="N115" s="286" t="str">
        <f>IF($P115&lt;&gt;"",IF(MAXIFS(Investment!$M:$M,Investment!$H:$H,LEFT($P115,30)&amp;"*"),MAXIFS(Investment!$M:$M,Investment!$H:$H,LEFT($P115,30)&amp;"*"),),)</f>
        <v/>
      </c>
      <c r="O115" s="287" t="str">
        <f>IF($P115&lt;&gt;"",IF(MAXIFS(Investment!$AI:$AI,Investment!$H:$H,LEFT($P115,30)&amp;"*"),MAXIFS(Investment!$AI:$AI,Investment!$H:$H,LEFT($P115,30)&amp;"*"),),)</f>
        <v/>
      </c>
      <c r="P115" s="283"/>
      <c r="Q115" s="284"/>
      <c r="R115" s="288"/>
    </row>
    <row r="116">
      <c r="A116" s="165">
        <v>43682.0</v>
      </c>
      <c r="B116" s="166" t="s">
        <v>134</v>
      </c>
      <c r="C116" s="167" t="s">
        <v>135</v>
      </c>
      <c r="D116" s="168" t="s">
        <v>301</v>
      </c>
      <c r="E116" s="168"/>
      <c r="F116" s="169"/>
      <c r="G116" s="170">
        <v>-2.2</v>
      </c>
      <c r="H116" s="167" t="s">
        <v>353</v>
      </c>
      <c r="I116" s="171">
        <f t="shared" ref="I116:J116" si="118">IFS(AND($B116&lt;&gt;"",$E116&lt;&gt;""),IF(INDEX(N:N,MATCH($C116,$P:$P,0),1)&lt;&gt;"",$E116*INDEX(N:N,MATCH($C116,$P:$P,0),1)+$G116,""),AND($B116&lt;&gt;"",$D116="COST",$G116&lt;0),$G116,TRUE,)</f>
        <v>-2.2</v>
      </c>
      <c r="J116" s="171">
        <f t="shared" si="118"/>
        <v>-2.2</v>
      </c>
      <c r="K116" s="283" t="str">
        <f t="shared" si="3"/>
        <v>iShares Treasury Bond 20+ UCITS</v>
      </c>
      <c r="L116" s="284">
        <f t="shared" si="4"/>
        <v>53253</v>
      </c>
      <c r="M116" s="285">
        <f t="shared" si="5"/>
        <v>-206464.56</v>
      </c>
      <c r="N116" s="286" t="str">
        <f>IF($P116&lt;&gt;"",IF(MAXIFS(Investment!$M:$M,Investment!$H:$H,LEFT($P116,30)&amp;"*"),MAXIFS(Investment!$M:$M,Investment!$H:$H,LEFT($P116,30)&amp;"*"),),)</f>
        <v/>
      </c>
      <c r="O116" s="287" t="str">
        <f>IF($P116&lt;&gt;"",IF(MAXIFS(Investment!$AI:$AI,Investment!$H:$H,LEFT($P116,30)&amp;"*"),MAXIFS(Investment!$AI:$AI,Investment!$H:$H,LEFT($P116,30)&amp;"*"),),)</f>
        <v/>
      </c>
      <c r="P116" s="283"/>
      <c r="Q116" s="284"/>
      <c r="R116" s="288"/>
    </row>
    <row r="117">
      <c r="A117" s="165">
        <v>43682.0</v>
      </c>
      <c r="B117" s="166" t="s">
        <v>134</v>
      </c>
      <c r="C117" s="167" t="s">
        <v>135</v>
      </c>
      <c r="D117" s="168" t="s">
        <v>280</v>
      </c>
      <c r="E117" s="168">
        <v>-794.0</v>
      </c>
      <c r="F117" s="169">
        <v>4.6528</v>
      </c>
      <c r="G117" s="170">
        <v>3694.4</v>
      </c>
      <c r="H117" s="167" t="s">
        <v>586</v>
      </c>
      <c r="I117" s="171">
        <f t="shared" ref="I117:J117" si="119">IFS(AND($B117&lt;&gt;"",$E117&lt;&gt;""),IF(INDEX(N:N,MATCH($C117,$P:$P,0),1)&lt;&gt;"",$E117*INDEX(N:N,MATCH($C117,$P:$P,0),1)+$G117,""),AND($B117&lt;&gt;"",$D117="COST",$G117&lt;0),$G117,TRUE,)</f>
        <v>29.296</v>
      </c>
      <c r="J117" s="171">
        <f t="shared" si="119"/>
        <v>266.3524843</v>
      </c>
      <c r="K117" s="283" t="str">
        <f t="shared" si="3"/>
        <v>iShares Treasury Bond 20+ UCITS</v>
      </c>
      <c r="L117" s="284">
        <f t="shared" si="4"/>
        <v>53253</v>
      </c>
      <c r="M117" s="285">
        <f t="shared" si="5"/>
        <v>-206464.56</v>
      </c>
      <c r="N117" s="286" t="str">
        <f>IF($P117&lt;&gt;"",IF(MAXIFS(Investment!$M:$M,Investment!$H:$H,LEFT($P117,30)&amp;"*"),MAXIFS(Investment!$M:$M,Investment!$H:$H,LEFT($P117,30)&amp;"*"),),)</f>
        <v/>
      </c>
      <c r="O117" s="287" t="str">
        <f>IF($P117&lt;&gt;"",IF(MAXIFS(Investment!$AI:$AI,Investment!$H:$H,LEFT($P117,30)&amp;"*"),MAXIFS(Investment!$AI:$AI,Investment!$H:$H,LEFT($P117,30)&amp;"*"),),)</f>
        <v/>
      </c>
      <c r="P117" s="283"/>
      <c r="Q117" s="284"/>
      <c r="R117" s="288"/>
    </row>
    <row r="118">
      <c r="A118" s="165">
        <v>43682.0</v>
      </c>
      <c r="B118" s="166" t="s">
        <v>134</v>
      </c>
      <c r="C118" s="167" t="s">
        <v>135</v>
      </c>
      <c r="D118" s="168" t="s">
        <v>301</v>
      </c>
      <c r="E118" s="168"/>
      <c r="F118" s="169"/>
      <c r="G118" s="170">
        <v>-2.74</v>
      </c>
      <c r="H118" s="167" t="s">
        <v>587</v>
      </c>
      <c r="I118" s="171">
        <f t="shared" ref="I118:J118" si="120">IFS(AND($B118&lt;&gt;"",$E118&lt;&gt;""),IF(INDEX(N:N,MATCH($C118,$P:$P,0),1)&lt;&gt;"",$E118*INDEX(N:N,MATCH($C118,$P:$P,0),1)+$G118,""),AND($B118&lt;&gt;"",$D118="COST",$G118&lt;0),$G118,TRUE,)</f>
        <v>-2.74</v>
      </c>
      <c r="J118" s="171">
        <f t="shared" si="120"/>
        <v>-2.74</v>
      </c>
      <c r="K118" s="283" t="str">
        <f t="shared" si="3"/>
        <v>iShares Treasury Bond 20+ UCITS</v>
      </c>
      <c r="L118" s="284">
        <f t="shared" si="4"/>
        <v>53253</v>
      </c>
      <c r="M118" s="285">
        <f t="shared" si="5"/>
        <v>-206464.56</v>
      </c>
      <c r="N118" s="286" t="str">
        <f>IF($P118&lt;&gt;"",IF(MAXIFS(Investment!$M:$M,Investment!$H:$H,LEFT($P118,30)&amp;"*"),MAXIFS(Investment!$M:$M,Investment!$H:$H,LEFT($P118,30)&amp;"*"),),)</f>
        <v/>
      </c>
      <c r="O118" s="287" t="str">
        <f>IF($P118&lt;&gt;"",IF(MAXIFS(Investment!$AI:$AI,Investment!$H:$H,LEFT($P118,30)&amp;"*"),MAXIFS(Investment!$AI:$AI,Investment!$H:$H,LEFT($P118,30)&amp;"*"),),)</f>
        <v/>
      </c>
      <c r="P118" s="283"/>
      <c r="Q118" s="284"/>
      <c r="R118" s="288"/>
    </row>
    <row r="119">
      <c r="A119" s="165">
        <v>43679.0</v>
      </c>
      <c r="B119" s="166" t="s">
        <v>127</v>
      </c>
      <c r="C119" s="167" t="s">
        <v>128</v>
      </c>
      <c r="D119" s="168" t="s">
        <v>280</v>
      </c>
      <c r="E119" s="168">
        <v>-7.0</v>
      </c>
      <c r="F119" s="169">
        <v>184.8</v>
      </c>
      <c r="G119" s="170">
        <v>1293.6</v>
      </c>
      <c r="H119" s="167" t="s">
        <v>588</v>
      </c>
      <c r="I119" s="171">
        <f t="shared" ref="I119:J119" si="121">IFS(AND($B119&lt;&gt;"",$E119&lt;&gt;""),IF(INDEX(N:N,MATCH($C119,$P:$P,0),1)&lt;&gt;"",$E119*INDEX(N:N,MATCH($C119,$P:$P,0),1)+$G119,""),AND($B119&lt;&gt;"",$D119="COST",$G119&lt;0),$G119,TRUE,)</f>
        <v>-3.29</v>
      </c>
      <c r="J119" s="171">
        <f t="shared" si="121"/>
        <v>56.05517647</v>
      </c>
      <c r="K119" s="283" t="str">
        <f t="shared" si="3"/>
        <v>iShares Treasury Bond 7-10 UCITS</v>
      </c>
      <c r="L119" s="284">
        <f t="shared" si="4"/>
        <v>547</v>
      </c>
      <c r="M119" s="285">
        <f t="shared" si="5"/>
        <v>-81771.76</v>
      </c>
      <c r="N119" s="286" t="str">
        <f>IF($P119&lt;&gt;"",IF(MAXIFS(Investment!$M:$M,Investment!$H:$H,LEFT($P119,30)&amp;"*"),MAXIFS(Investment!$M:$M,Investment!$H:$H,LEFT($P119,30)&amp;"*"),),)</f>
        <v/>
      </c>
      <c r="O119" s="287" t="str">
        <f>IF($P119&lt;&gt;"",IF(MAXIFS(Investment!$AI:$AI,Investment!$H:$H,LEFT($P119,30)&amp;"*"),MAXIFS(Investment!$AI:$AI,Investment!$H:$H,LEFT($P119,30)&amp;"*"),),)</f>
        <v/>
      </c>
      <c r="P119" s="283"/>
      <c r="Q119" s="284"/>
      <c r="R119" s="288"/>
    </row>
    <row r="120">
      <c r="A120" s="165">
        <v>43679.0</v>
      </c>
      <c r="B120" s="166" t="s">
        <v>134</v>
      </c>
      <c r="C120" s="167" t="s">
        <v>135</v>
      </c>
      <c r="D120" s="168" t="s">
        <v>280</v>
      </c>
      <c r="E120" s="168">
        <v>-493.0</v>
      </c>
      <c r="F120" s="169">
        <v>4.611</v>
      </c>
      <c r="G120" s="170">
        <v>2273.22</v>
      </c>
      <c r="H120" s="167" t="s">
        <v>589</v>
      </c>
      <c r="I120" s="171">
        <f t="shared" ref="I120:J120" si="122">IFS(AND($B120&lt;&gt;"",$E120&lt;&gt;""),IF(INDEX(N:N,MATCH($C120,$P:$P,0),1)&lt;&gt;"",$E120*INDEX(N:N,MATCH($C120,$P:$P,0),1)+$G120,""),AND($B120&lt;&gt;"",$D120="COST",$G120&lt;0),$G120,TRUE,)</f>
        <v>-2.468</v>
      </c>
      <c r="J120" s="171">
        <f t="shared" si="122"/>
        <v>144.7219833</v>
      </c>
      <c r="K120" s="283" t="str">
        <f t="shared" si="3"/>
        <v>iShares Treasury Bond 20+ UCITS</v>
      </c>
      <c r="L120" s="284">
        <f t="shared" si="4"/>
        <v>53253</v>
      </c>
      <c r="M120" s="285">
        <f t="shared" si="5"/>
        <v>-206464.56</v>
      </c>
      <c r="N120" s="286" t="str">
        <f>IF($P120&lt;&gt;"",IF(MAXIFS(Investment!$M:$M,Investment!$H:$H,LEFT($P120,30)&amp;"*"),MAXIFS(Investment!$M:$M,Investment!$H:$H,LEFT($P120,30)&amp;"*"),),)</f>
        <v/>
      </c>
      <c r="O120" s="287" t="str">
        <f>IF($P120&lt;&gt;"",IF(MAXIFS(Investment!$AI:$AI,Investment!$H:$H,LEFT($P120,30)&amp;"*"),MAXIFS(Investment!$AI:$AI,Investment!$H:$H,LEFT($P120,30)&amp;"*"),),)</f>
        <v/>
      </c>
      <c r="P120" s="283"/>
      <c r="Q120" s="284"/>
      <c r="R120" s="288"/>
    </row>
    <row r="121">
      <c r="A121" s="165">
        <v>43679.0</v>
      </c>
      <c r="B121" s="166" t="s">
        <v>134</v>
      </c>
      <c r="C121" s="167" t="s">
        <v>135</v>
      </c>
      <c r="D121" s="168" t="s">
        <v>301</v>
      </c>
      <c r="E121" s="168"/>
      <c r="F121" s="169"/>
      <c r="G121" s="170">
        <v>-2.45</v>
      </c>
      <c r="H121" s="167" t="s">
        <v>590</v>
      </c>
      <c r="I121" s="171">
        <f t="shared" ref="I121:J121" si="123">IFS(AND($B121&lt;&gt;"",$E121&lt;&gt;""),IF(INDEX(N:N,MATCH($C121,$P:$P,0),1)&lt;&gt;"",$E121*INDEX(N:N,MATCH($C121,$P:$P,0),1)+$G121,""),AND($B121&lt;&gt;"",$D121="COST",$G121&lt;0),$G121,TRUE,)</f>
        <v>-2.45</v>
      </c>
      <c r="J121" s="171">
        <f t="shared" si="123"/>
        <v>-2.45</v>
      </c>
      <c r="K121" s="283" t="str">
        <f t="shared" si="3"/>
        <v>iShares Treasury Bond 20+ UCITS</v>
      </c>
      <c r="L121" s="284">
        <f t="shared" si="4"/>
        <v>53253</v>
      </c>
      <c r="M121" s="285">
        <f t="shared" si="5"/>
        <v>-206464.56</v>
      </c>
      <c r="N121" s="286" t="str">
        <f>IF($P121&lt;&gt;"",IF(MAXIFS(Investment!$M:$M,Investment!$H:$H,LEFT($P121,30)&amp;"*"),MAXIFS(Investment!$M:$M,Investment!$H:$H,LEFT($P121,30)&amp;"*"),),)</f>
        <v/>
      </c>
      <c r="O121" s="287" t="str">
        <f>IF($P121&lt;&gt;"",IF(MAXIFS(Investment!$AI:$AI,Investment!$H:$H,LEFT($P121,30)&amp;"*"),MAXIFS(Investment!$AI:$AI,Investment!$H:$H,LEFT($P121,30)&amp;"*"),),)</f>
        <v/>
      </c>
      <c r="P121" s="283"/>
      <c r="Q121" s="284"/>
      <c r="R121" s="288"/>
    </row>
    <row r="122">
      <c r="A122" s="165">
        <v>43679.0</v>
      </c>
      <c r="B122" s="166" t="s">
        <v>122</v>
      </c>
      <c r="C122" s="167" t="s">
        <v>123</v>
      </c>
      <c r="D122" s="168" t="s">
        <v>280</v>
      </c>
      <c r="E122" s="168">
        <v>-9.0</v>
      </c>
      <c r="F122" s="169">
        <v>123.9</v>
      </c>
      <c r="G122" s="170">
        <v>1115.1</v>
      </c>
      <c r="H122" s="167" t="s">
        <v>591</v>
      </c>
      <c r="I122" s="171">
        <f t="shared" ref="I122:J122" si="124">IFS(AND($B122&lt;&gt;"",$E122&lt;&gt;""),IF(INDEX(N:N,MATCH($C122,$P:$P,0),1)&lt;&gt;"",$E122*INDEX(N:N,MATCH($C122,$P:$P,0),1)+$G122,""),AND($B122&lt;&gt;"",$D122="COST",$G122&lt;0),$G122,TRUE,)</f>
        <v>-15.48</v>
      </c>
      <c r="J122" s="171">
        <f t="shared" si="124"/>
        <v>71.94423529</v>
      </c>
      <c r="K122" s="283" t="str">
        <f t="shared" si="3"/>
        <v>ETFS Physical Gold</v>
      </c>
      <c r="L122" s="284">
        <f t="shared" si="4"/>
        <v>353</v>
      </c>
      <c r="M122" s="285">
        <f t="shared" si="5"/>
        <v>-33586.49</v>
      </c>
      <c r="N122" s="286" t="str">
        <f>IF($P122&lt;&gt;"",IF(MAXIFS(Investment!$M:$M,Investment!$H:$H,LEFT($P122,30)&amp;"*"),MAXIFS(Investment!$M:$M,Investment!$H:$H,LEFT($P122,30)&amp;"*"),),)</f>
        <v/>
      </c>
      <c r="O122" s="287" t="str">
        <f>IF($P122&lt;&gt;"",IF(MAXIFS(Investment!$AI:$AI,Investment!$H:$H,LEFT($P122,30)&amp;"*"),MAXIFS(Investment!$AI:$AI,Investment!$H:$H,LEFT($P122,30)&amp;"*"),),)</f>
        <v/>
      </c>
      <c r="P122" s="283"/>
      <c r="Q122" s="284"/>
      <c r="R122" s="288"/>
    </row>
    <row r="123">
      <c r="A123" s="165">
        <v>43679.0</v>
      </c>
      <c r="B123" s="166" t="s">
        <v>127</v>
      </c>
      <c r="C123" s="167" t="s">
        <v>128</v>
      </c>
      <c r="D123" s="168" t="s">
        <v>280</v>
      </c>
      <c r="E123" s="168">
        <v>-6.0</v>
      </c>
      <c r="F123" s="169">
        <v>184.2</v>
      </c>
      <c r="G123" s="170">
        <v>1105.2</v>
      </c>
      <c r="H123" s="167" t="s">
        <v>592</v>
      </c>
      <c r="I123" s="171">
        <f t="shared" ref="I123:J123" si="125">IFS(AND($B123&lt;&gt;"",$E123&lt;&gt;""),IF(INDEX(N:N,MATCH($C123,$P:$P,0),1)&lt;&gt;"",$E123*INDEX(N:N,MATCH($C123,$P:$P,0),1)+$G123,""),AND($B123&lt;&gt;"",$D123="COST",$G123&lt;0),$G123,TRUE,)</f>
        <v>-6.42</v>
      </c>
      <c r="J123" s="171">
        <f t="shared" si="125"/>
        <v>44.44729412</v>
      </c>
      <c r="K123" s="283" t="str">
        <f t="shared" si="3"/>
        <v>iShares Treasury Bond 7-10 UCITS</v>
      </c>
      <c r="L123" s="284">
        <f t="shared" si="4"/>
        <v>547</v>
      </c>
      <c r="M123" s="285">
        <f t="shared" si="5"/>
        <v>-81771.76</v>
      </c>
      <c r="N123" s="286" t="str">
        <f>IF($P123&lt;&gt;"",IF(MAXIFS(Investment!$M:$M,Investment!$H:$H,LEFT($P123,30)&amp;"*"),MAXIFS(Investment!$M:$M,Investment!$H:$H,LEFT($P123,30)&amp;"*"),),)</f>
        <v/>
      </c>
      <c r="O123" s="287" t="str">
        <f>IF($P123&lt;&gt;"",IF(MAXIFS(Investment!$AI:$AI,Investment!$H:$H,LEFT($P123,30)&amp;"*"),MAXIFS(Investment!$AI:$AI,Investment!$H:$H,LEFT($P123,30)&amp;"*"),),)</f>
        <v/>
      </c>
      <c r="P123" s="283"/>
      <c r="Q123" s="284"/>
      <c r="R123" s="288"/>
    </row>
    <row r="124">
      <c r="A124" s="165">
        <v>43679.0</v>
      </c>
      <c r="B124" s="166" t="s">
        <v>122</v>
      </c>
      <c r="C124" s="167" t="s">
        <v>123</v>
      </c>
      <c r="D124" s="168" t="s">
        <v>280</v>
      </c>
      <c r="E124" s="168">
        <v>-9.0</v>
      </c>
      <c r="F124" s="169">
        <v>124.13</v>
      </c>
      <c r="G124" s="170">
        <v>1117.17</v>
      </c>
      <c r="H124" s="167" t="s">
        <v>593</v>
      </c>
      <c r="I124" s="171">
        <f t="shared" ref="I124:J124" si="126">IFS(AND($B124&lt;&gt;"",$E124&lt;&gt;""),IF(INDEX(N:N,MATCH($C124,$P:$P,0),1)&lt;&gt;"",$E124*INDEX(N:N,MATCH($C124,$P:$P,0),1)+$G124,""),AND($B124&lt;&gt;"",$D124="COST",$G124&lt;0),$G124,TRUE,)</f>
        <v>-13.41</v>
      </c>
      <c r="J124" s="171">
        <f t="shared" si="126"/>
        <v>74.01423529</v>
      </c>
      <c r="K124" s="283" t="str">
        <f t="shared" si="3"/>
        <v>ETFS Physical Gold</v>
      </c>
      <c r="L124" s="284">
        <f t="shared" si="4"/>
        <v>353</v>
      </c>
      <c r="M124" s="285">
        <f t="shared" si="5"/>
        <v>-33586.49</v>
      </c>
      <c r="N124" s="286" t="str">
        <f>IF($P124&lt;&gt;"",IF(MAXIFS(Investment!$M:$M,Investment!$H:$H,LEFT($P124,30)&amp;"*"),MAXIFS(Investment!$M:$M,Investment!$H:$H,LEFT($P124,30)&amp;"*"),),)</f>
        <v/>
      </c>
      <c r="O124" s="287" t="str">
        <f>IF($P124&lt;&gt;"",IF(MAXIFS(Investment!$AI:$AI,Investment!$H:$H,LEFT($P124,30)&amp;"*"),MAXIFS(Investment!$AI:$AI,Investment!$H:$H,LEFT($P124,30)&amp;"*"),),)</f>
        <v/>
      </c>
      <c r="P124" s="283"/>
      <c r="Q124" s="284"/>
      <c r="R124" s="288"/>
    </row>
    <row r="125">
      <c r="A125" s="165">
        <v>43679.0</v>
      </c>
      <c r="B125" s="166" t="s">
        <v>127</v>
      </c>
      <c r="C125" s="167" t="s">
        <v>128</v>
      </c>
      <c r="D125" s="168" t="s">
        <v>280</v>
      </c>
      <c r="E125" s="168">
        <v>-6.0</v>
      </c>
      <c r="F125" s="169">
        <v>184.45</v>
      </c>
      <c r="G125" s="170">
        <v>1106.7</v>
      </c>
      <c r="H125" s="167" t="s">
        <v>594</v>
      </c>
      <c r="I125" s="171">
        <f t="shared" ref="I125:J125" si="127">IFS(AND($B125&lt;&gt;"",$E125&lt;&gt;""),IF(INDEX(N:N,MATCH($C125,$P:$P,0),1)&lt;&gt;"",$E125*INDEX(N:N,MATCH($C125,$P:$P,0),1)+$G125,""),AND($B125&lt;&gt;"",$D125="COST",$G125&lt;0),$G125,TRUE,)</f>
        <v>-4.92</v>
      </c>
      <c r="J125" s="171">
        <f t="shared" si="127"/>
        <v>45.94729412</v>
      </c>
      <c r="K125" s="283" t="str">
        <f t="shared" si="3"/>
        <v>iShares Treasury Bond 7-10 UCITS</v>
      </c>
      <c r="L125" s="284">
        <f t="shared" si="4"/>
        <v>547</v>
      </c>
      <c r="M125" s="285">
        <f t="shared" si="5"/>
        <v>-81771.76</v>
      </c>
      <c r="N125" s="286" t="str">
        <f>IF($P125&lt;&gt;"",IF(MAXIFS(Investment!$M:$M,Investment!$H:$H,LEFT($P125,30)&amp;"*"),MAXIFS(Investment!$M:$M,Investment!$H:$H,LEFT($P125,30)&amp;"*"),),)</f>
        <v/>
      </c>
      <c r="O125" s="287" t="str">
        <f>IF($P125&lt;&gt;"",IF(MAXIFS(Investment!$AI:$AI,Investment!$H:$H,LEFT($P125,30)&amp;"*"),MAXIFS(Investment!$AI:$AI,Investment!$H:$H,LEFT($P125,30)&amp;"*"),),)</f>
        <v/>
      </c>
      <c r="P125" s="283"/>
      <c r="Q125" s="284"/>
      <c r="R125" s="288"/>
    </row>
    <row r="126">
      <c r="A126" s="165">
        <v>43679.0</v>
      </c>
      <c r="B126" s="166" t="s">
        <v>127</v>
      </c>
      <c r="C126" s="167" t="s">
        <v>128</v>
      </c>
      <c r="D126" s="168" t="s">
        <v>280</v>
      </c>
      <c r="E126" s="168">
        <v>-6.0</v>
      </c>
      <c r="F126" s="169">
        <v>184.4</v>
      </c>
      <c r="G126" s="170">
        <v>1106.4</v>
      </c>
      <c r="H126" s="167" t="s">
        <v>595</v>
      </c>
      <c r="I126" s="171">
        <f t="shared" ref="I126:J126" si="128">IFS(AND($B126&lt;&gt;"",$E126&lt;&gt;""),IF(INDEX(N:N,MATCH($C126,$P:$P,0),1)&lt;&gt;"",$E126*INDEX(N:N,MATCH($C126,$P:$P,0),1)+$G126,""),AND($B126&lt;&gt;"",$D126="COST",$G126&lt;0),$G126,TRUE,)</f>
        <v>-5.22</v>
      </c>
      <c r="J126" s="171">
        <f t="shared" si="128"/>
        <v>45.64729412</v>
      </c>
      <c r="K126" s="283" t="str">
        <f t="shared" si="3"/>
        <v>iShares Treasury Bond 7-10 UCITS</v>
      </c>
      <c r="L126" s="284">
        <f t="shared" si="4"/>
        <v>547</v>
      </c>
      <c r="M126" s="285">
        <f t="shared" si="5"/>
        <v>-81771.76</v>
      </c>
      <c r="N126" s="286" t="str">
        <f>IF($P126&lt;&gt;"",IF(MAXIFS(Investment!$M:$M,Investment!$H:$H,LEFT($P126,30)&amp;"*"),MAXIFS(Investment!$M:$M,Investment!$H:$H,LEFT($P126,30)&amp;"*"),),)</f>
        <v/>
      </c>
      <c r="O126" s="287" t="str">
        <f>IF($P126&lt;&gt;"",IF(MAXIFS(Investment!$AI:$AI,Investment!$H:$H,LEFT($P126,30)&amp;"*"),MAXIFS(Investment!$AI:$AI,Investment!$H:$H,LEFT($P126,30)&amp;"*"),),)</f>
        <v/>
      </c>
      <c r="P126" s="283"/>
      <c r="Q126" s="284"/>
      <c r="R126" s="288"/>
    </row>
    <row r="127">
      <c r="A127" s="165">
        <v>43679.0</v>
      </c>
      <c r="B127" s="166" t="s">
        <v>122</v>
      </c>
      <c r="C127" s="167" t="s">
        <v>123</v>
      </c>
      <c r="D127" s="168" t="s">
        <v>280</v>
      </c>
      <c r="E127" s="168">
        <v>-2.0</v>
      </c>
      <c r="F127" s="169">
        <v>124.02</v>
      </c>
      <c r="G127" s="170">
        <v>248.04</v>
      </c>
      <c r="H127" s="167" t="s">
        <v>596</v>
      </c>
      <c r="I127" s="171">
        <f t="shared" ref="I127:J127" si="129">IFS(AND($B127&lt;&gt;"",$E127&lt;&gt;""),IF(INDEX(N:N,MATCH($C127,$P:$P,0),1)&lt;&gt;"",$E127*INDEX(N:N,MATCH($C127,$P:$P,0),1)+$G127,""),AND($B127&lt;&gt;"",$D127="COST",$G127&lt;0),$G127,TRUE,)</f>
        <v>-3.2</v>
      </c>
      <c r="J127" s="171">
        <f t="shared" si="129"/>
        <v>16.22760784</v>
      </c>
      <c r="K127" s="283" t="str">
        <f t="shared" si="3"/>
        <v>ETFS Physical Gold</v>
      </c>
      <c r="L127" s="284">
        <f t="shared" si="4"/>
        <v>353</v>
      </c>
      <c r="M127" s="285">
        <f t="shared" si="5"/>
        <v>-33586.49</v>
      </c>
      <c r="N127" s="286" t="str">
        <f>IF($P127&lt;&gt;"",IF(MAXIFS(Investment!$M:$M,Investment!$H:$H,LEFT($P127,30)&amp;"*"),MAXIFS(Investment!$M:$M,Investment!$H:$H,LEFT($P127,30)&amp;"*"),),)</f>
        <v/>
      </c>
      <c r="O127" s="287" t="str">
        <f>IF($P127&lt;&gt;"",IF(MAXIFS(Investment!$AI:$AI,Investment!$H:$H,LEFT($P127,30)&amp;"*"),MAXIFS(Investment!$AI:$AI,Investment!$H:$H,LEFT($P127,30)&amp;"*"),),)</f>
        <v/>
      </c>
      <c r="P127" s="283"/>
      <c r="Q127" s="284"/>
      <c r="R127" s="288"/>
    </row>
    <row r="128">
      <c r="A128" s="165">
        <v>43679.0</v>
      </c>
      <c r="B128" s="166" t="s">
        <v>122</v>
      </c>
      <c r="C128" s="167" t="s">
        <v>123</v>
      </c>
      <c r="D128" s="168" t="s">
        <v>301</v>
      </c>
      <c r="E128" s="168"/>
      <c r="F128" s="169"/>
      <c r="G128" s="170">
        <v>-2.05</v>
      </c>
      <c r="H128" s="167" t="s">
        <v>597</v>
      </c>
      <c r="I128" s="171">
        <f t="shared" ref="I128:J128" si="130">IFS(AND($B128&lt;&gt;"",$E128&lt;&gt;""),IF(INDEX(N:N,MATCH($C128,$P:$P,0),1)&lt;&gt;"",$E128*INDEX(N:N,MATCH($C128,$P:$P,0),1)+$G128,""),AND($B128&lt;&gt;"",$D128="COST",$G128&lt;0),$G128,TRUE,)</f>
        <v>-2.05</v>
      </c>
      <c r="J128" s="171">
        <f t="shared" si="130"/>
        <v>-2.05</v>
      </c>
      <c r="K128" s="283" t="str">
        <f t="shared" si="3"/>
        <v>ETFS Physical Gold</v>
      </c>
      <c r="L128" s="284">
        <f t="shared" si="4"/>
        <v>353</v>
      </c>
      <c r="M128" s="285">
        <f t="shared" si="5"/>
        <v>-33586.49</v>
      </c>
      <c r="N128" s="286" t="str">
        <f>IF($P128&lt;&gt;"",IF(MAXIFS(Investment!$M:$M,Investment!$H:$H,LEFT($P128,30)&amp;"*"),MAXIFS(Investment!$M:$M,Investment!$H:$H,LEFT($P128,30)&amp;"*"),),)</f>
        <v/>
      </c>
      <c r="O128" s="287" t="str">
        <f>IF($P128&lt;&gt;"",IF(MAXIFS(Investment!$AI:$AI,Investment!$H:$H,LEFT($P128,30)&amp;"*"),MAXIFS(Investment!$AI:$AI,Investment!$H:$H,LEFT($P128,30)&amp;"*"),),)</f>
        <v/>
      </c>
      <c r="P128" s="283"/>
      <c r="Q128" s="284"/>
      <c r="R128" s="288"/>
    </row>
    <row r="129">
      <c r="A129" s="165">
        <v>43679.0</v>
      </c>
      <c r="B129" s="166" t="s">
        <v>122</v>
      </c>
      <c r="C129" s="167" t="s">
        <v>123</v>
      </c>
      <c r="D129" s="168" t="s">
        <v>280</v>
      </c>
      <c r="E129" s="168">
        <v>-1.0</v>
      </c>
      <c r="F129" s="169">
        <v>123.4</v>
      </c>
      <c r="G129" s="170">
        <v>123.4</v>
      </c>
      <c r="H129" s="167" t="s">
        <v>598</v>
      </c>
      <c r="I129" s="171">
        <f t="shared" ref="I129:J129" si="131">IFS(AND($B129&lt;&gt;"",$E129&lt;&gt;""),IF(INDEX(N:N,MATCH($C129,$P:$P,0),1)&lt;&gt;"",$E129*INDEX(N:N,MATCH($C129,$P:$P,0),1)+$G129,""),AND($B129&lt;&gt;"",$D129="COST",$G129&lt;0),$G129,TRUE,)</f>
        <v>-2.22</v>
      </c>
      <c r="J129" s="171">
        <f t="shared" si="131"/>
        <v>7.493803922</v>
      </c>
      <c r="K129" s="283" t="str">
        <f t="shared" si="3"/>
        <v>ETFS Physical Gold</v>
      </c>
      <c r="L129" s="284">
        <f t="shared" si="4"/>
        <v>353</v>
      </c>
      <c r="M129" s="285">
        <f t="shared" si="5"/>
        <v>-33586.49</v>
      </c>
      <c r="N129" s="286" t="str">
        <f>IF($P129&lt;&gt;"",IF(MAXIFS(Investment!$M:$M,Investment!$H:$H,LEFT($P129,30)&amp;"*"),MAXIFS(Investment!$M:$M,Investment!$H:$H,LEFT($P129,30)&amp;"*"),),)</f>
        <v/>
      </c>
      <c r="O129" s="287" t="str">
        <f>IF($P129&lt;&gt;"",IF(MAXIFS(Investment!$AI:$AI,Investment!$H:$H,LEFT($P129,30)&amp;"*"),MAXIFS(Investment!$AI:$AI,Investment!$H:$H,LEFT($P129,30)&amp;"*"),),)</f>
        <v/>
      </c>
      <c r="P129" s="283"/>
      <c r="Q129" s="284"/>
      <c r="R129" s="288"/>
    </row>
    <row r="130">
      <c r="A130" s="165">
        <v>43679.0</v>
      </c>
      <c r="B130" s="166"/>
      <c r="C130" s="167"/>
      <c r="D130" s="168" t="s">
        <v>299</v>
      </c>
      <c r="E130" s="168"/>
      <c r="F130" s="169"/>
      <c r="G130" s="170">
        <v>-400.0</v>
      </c>
      <c r="H130" s="167" t="s">
        <v>312</v>
      </c>
      <c r="I130" s="171" t="str">
        <f t="shared" ref="I130:J130" si="132">IFS(AND($B130&lt;&gt;"",$E130&lt;&gt;""),IF(INDEX(N:N,MATCH($C130,$P:$P,0),1)&lt;&gt;"",$E130*INDEX(N:N,MATCH($C130,$P:$P,0),1)+$G130,""),AND($B130&lt;&gt;"",$D130="COST",$G130&lt;0),$G130,TRUE,)</f>
        <v/>
      </c>
      <c r="J130" s="171" t="str">
        <f t="shared" si="132"/>
        <v/>
      </c>
      <c r="K130" s="283" t="str">
        <f t="shared" si="3"/>
        <v/>
      </c>
      <c r="L130" s="284" t="str">
        <f t="shared" si="4"/>
        <v/>
      </c>
      <c r="M130" s="285" t="str">
        <f t="shared" si="5"/>
        <v/>
      </c>
      <c r="N130" s="286" t="str">
        <f>IF($P130&lt;&gt;"",IF(MAXIFS(Investment!$M:$M,Investment!$H:$H,LEFT($P130,30)&amp;"*"),MAXIFS(Investment!$M:$M,Investment!$H:$H,LEFT($P130,30)&amp;"*"),),)</f>
        <v/>
      </c>
      <c r="O130" s="287" t="str">
        <f>IF($P130&lt;&gt;"",IF(MAXIFS(Investment!$AI:$AI,Investment!$H:$H,LEFT($P130,30)&amp;"*"),MAXIFS(Investment!$AI:$AI,Investment!$H:$H,LEFT($P130,30)&amp;"*"),),)</f>
        <v/>
      </c>
      <c r="P130" s="283"/>
      <c r="Q130" s="284"/>
      <c r="R130" s="288"/>
    </row>
    <row r="131">
      <c r="A131" s="165">
        <v>43679.0</v>
      </c>
      <c r="B131" s="166" t="s">
        <v>118</v>
      </c>
      <c r="C131" s="167" t="s">
        <v>120</v>
      </c>
      <c r="D131" s="168" t="s">
        <v>332</v>
      </c>
      <c r="E131" s="168">
        <v>1771.0</v>
      </c>
      <c r="F131" s="169">
        <v>7.13</v>
      </c>
      <c r="G131" s="170">
        <v>-12627.23</v>
      </c>
      <c r="H131" s="167" t="s">
        <v>599</v>
      </c>
      <c r="I131" s="171">
        <f t="shared" ref="I131:J131" si="133">IFS(AND($B131&lt;&gt;"",$E131&lt;&gt;""),IF(INDEX(N:N,MATCH($C131,$P:$P,0),1)&lt;&gt;"",$E131*INDEX(N:N,MATCH($C131,$P:$P,0),1)+$G131,""),AND($B131&lt;&gt;"",$D131="COST",$G131&lt;0),$G131,TRUE,)</f>
        <v>442.75</v>
      </c>
      <c r="J131" s="171">
        <f t="shared" si="133"/>
        <v>207.2139451</v>
      </c>
      <c r="K131" s="283" t="str">
        <f t="shared" si="3"/>
        <v>ETFS All Commodities ETC</v>
      </c>
      <c r="L131" s="284">
        <f t="shared" si="4"/>
        <v>11745</v>
      </c>
      <c r="M131" s="285">
        <f t="shared" si="5"/>
        <v>-84366.02</v>
      </c>
      <c r="N131" s="286" t="str">
        <f>IF($P131&lt;&gt;"",IF(MAXIFS(Investment!$M:$M,Investment!$H:$H,LEFT($P131,30)&amp;"*"),MAXIFS(Investment!$M:$M,Investment!$H:$H,LEFT($P131,30)&amp;"*"),),)</f>
        <v/>
      </c>
      <c r="O131" s="287" t="str">
        <f>IF($P131&lt;&gt;"",IF(MAXIFS(Investment!$AI:$AI,Investment!$H:$H,LEFT($P131,30)&amp;"*"),MAXIFS(Investment!$AI:$AI,Investment!$H:$H,LEFT($P131,30)&amp;"*"),),)</f>
        <v/>
      </c>
      <c r="P131" s="283"/>
      <c r="Q131" s="284"/>
      <c r="R131" s="288"/>
    </row>
    <row r="132">
      <c r="A132" s="165">
        <v>43679.0</v>
      </c>
      <c r="B132" s="166" t="s">
        <v>134</v>
      </c>
      <c r="C132" s="167" t="s">
        <v>135</v>
      </c>
      <c r="D132" s="168" t="s">
        <v>280</v>
      </c>
      <c r="E132" s="168">
        <v>-1546.0</v>
      </c>
      <c r="F132" s="169">
        <v>4.611</v>
      </c>
      <c r="G132" s="170">
        <v>7128.61</v>
      </c>
      <c r="H132" s="167" t="s">
        <v>600</v>
      </c>
      <c r="I132" s="171">
        <f t="shared" ref="I132:J132" si="134">IFS(AND($B132&lt;&gt;"",$E132&lt;&gt;""),IF(INDEX(N:N,MATCH($C132,$P:$P,0),1)&lt;&gt;"",$E132*INDEX(N:N,MATCH($C132,$P:$P,0),1)+$G132,""),AND($B132&lt;&gt;"",$D132="COST",$G132&lt;0),$G132,TRUE,)</f>
        <v>-7.726</v>
      </c>
      <c r="J132" s="171">
        <f t="shared" si="134"/>
        <v>453.8474569</v>
      </c>
      <c r="K132" s="283" t="str">
        <f t="shared" si="3"/>
        <v>iShares Treasury Bond 20+ UCITS</v>
      </c>
      <c r="L132" s="284">
        <f t="shared" si="4"/>
        <v>53253</v>
      </c>
      <c r="M132" s="285">
        <f t="shared" si="5"/>
        <v>-206464.56</v>
      </c>
      <c r="N132" s="286" t="str">
        <f>IF($P132&lt;&gt;"",IF(MAXIFS(Investment!$M:$M,Investment!$H:$H,LEFT($P132,30)&amp;"*"),MAXIFS(Investment!$M:$M,Investment!$H:$H,LEFT($P132,30)&amp;"*"),),)</f>
        <v/>
      </c>
      <c r="O132" s="287" t="str">
        <f>IF($P132&lt;&gt;"",IF(MAXIFS(Investment!$AI:$AI,Investment!$H:$H,LEFT($P132,30)&amp;"*"),MAXIFS(Investment!$AI:$AI,Investment!$H:$H,LEFT($P132,30)&amp;"*"),),)</f>
        <v/>
      </c>
      <c r="P132" s="283"/>
      <c r="Q132" s="284"/>
      <c r="R132" s="288"/>
    </row>
    <row r="133">
      <c r="A133" s="165">
        <v>43679.0</v>
      </c>
      <c r="B133" s="166" t="s">
        <v>134</v>
      </c>
      <c r="C133" s="167" t="s">
        <v>135</v>
      </c>
      <c r="D133" s="168" t="s">
        <v>301</v>
      </c>
      <c r="E133" s="168"/>
      <c r="F133" s="169"/>
      <c r="G133" s="170">
        <v>-1.43</v>
      </c>
      <c r="H133" s="167" t="s">
        <v>601</v>
      </c>
      <c r="I133" s="171">
        <f t="shared" ref="I133:J133" si="135">IFS(AND($B133&lt;&gt;"",$E133&lt;&gt;""),IF(INDEX(N:N,MATCH($C133,$P:$P,0),1)&lt;&gt;"",$E133*INDEX(N:N,MATCH($C133,$P:$P,0),1)+$G133,""),AND($B133&lt;&gt;"",$D133="COST",$G133&lt;0),$G133,TRUE,)</f>
        <v>-1.43</v>
      </c>
      <c r="J133" s="171">
        <f t="shared" si="135"/>
        <v>-1.43</v>
      </c>
      <c r="K133" s="283" t="str">
        <f t="shared" si="3"/>
        <v>iShares Treasury Bond 20+ UCITS</v>
      </c>
      <c r="L133" s="284">
        <f t="shared" si="4"/>
        <v>53253</v>
      </c>
      <c r="M133" s="285">
        <f t="shared" si="5"/>
        <v>-206464.56</v>
      </c>
      <c r="N133" s="286" t="str">
        <f>IF($P133&lt;&gt;"",IF(MAXIFS(Investment!$M:$M,Investment!$H:$H,LEFT($P133,30)&amp;"*"),MAXIFS(Investment!$M:$M,Investment!$H:$H,LEFT($P133,30)&amp;"*"),),)</f>
        <v/>
      </c>
      <c r="O133" s="287" t="str">
        <f>IF($P133&lt;&gt;"",IF(MAXIFS(Investment!$AI:$AI,Investment!$H:$H,LEFT($P133,30)&amp;"*"),MAXIFS(Investment!$AI:$AI,Investment!$H:$H,LEFT($P133,30)&amp;"*"),),)</f>
        <v/>
      </c>
      <c r="P133" s="283"/>
      <c r="Q133" s="284"/>
      <c r="R133" s="288"/>
    </row>
    <row r="134">
      <c r="A134" s="165">
        <v>43678.0</v>
      </c>
      <c r="B134" s="166" t="s">
        <v>118</v>
      </c>
      <c r="C134" s="167" t="s">
        <v>120</v>
      </c>
      <c r="D134" s="168" t="s">
        <v>332</v>
      </c>
      <c r="E134" s="168">
        <v>353.0</v>
      </c>
      <c r="F134" s="169">
        <v>7.26</v>
      </c>
      <c r="G134" s="170">
        <v>-2562.78</v>
      </c>
      <c r="H134" s="167" t="s">
        <v>602</v>
      </c>
      <c r="I134" s="171">
        <f t="shared" ref="I134:J134" si="136">IFS(AND($B134&lt;&gt;"",$E134&lt;&gt;""),IF(INDEX(N:N,MATCH($C134,$P:$P,0),1)&lt;&gt;"",$E134*INDEX(N:N,MATCH($C134,$P:$P,0),1)+$G134,""),AND($B134&lt;&gt;"",$D134="COST",$G134&lt;0),$G134,TRUE,)</f>
        <v>42.36</v>
      </c>
      <c r="J134" s="171">
        <f t="shared" si="136"/>
        <v>-4.587615686</v>
      </c>
      <c r="K134" s="283" t="str">
        <f t="shared" si="3"/>
        <v>ETFS All Commodities ETC</v>
      </c>
      <c r="L134" s="284">
        <f t="shared" si="4"/>
        <v>11745</v>
      </c>
      <c r="M134" s="285">
        <f t="shared" si="5"/>
        <v>-84366.02</v>
      </c>
      <c r="N134" s="286" t="str">
        <f>IF($P134&lt;&gt;"",IF(MAXIFS(Investment!$M:$M,Investment!$H:$H,LEFT($P134,30)&amp;"*"),MAXIFS(Investment!$M:$M,Investment!$H:$H,LEFT($P134,30)&amp;"*"),),)</f>
        <v/>
      </c>
      <c r="O134" s="287" t="str">
        <f>IF($P134&lt;&gt;"",IF(MAXIFS(Investment!$AI:$AI,Investment!$H:$H,LEFT($P134,30)&amp;"*"),MAXIFS(Investment!$AI:$AI,Investment!$H:$H,LEFT($P134,30)&amp;"*"),),)</f>
        <v/>
      </c>
      <c r="P134" s="283"/>
      <c r="Q134" s="284"/>
      <c r="R134" s="288"/>
    </row>
    <row r="135">
      <c r="A135" s="165">
        <v>43678.0</v>
      </c>
      <c r="B135" s="166"/>
      <c r="C135" s="167"/>
      <c r="D135" s="168" t="s">
        <v>301</v>
      </c>
      <c r="E135" s="168"/>
      <c r="F135" s="169"/>
      <c r="G135" s="170">
        <v>-92.69</v>
      </c>
      <c r="H135" s="289" t="s">
        <v>603</v>
      </c>
      <c r="I135" s="171" t="str">
        <f t="shared" ref="I135:J135" si="137">IFS(AND($B135&lt;&gt;"",$E135&lt;&gt;""),IF(INDEX(N:N,MATCH($C135,$P:$P,0),1)&lt;&gt;"",$E135*INDEX(N:N,MATCH($C135,$P:$P,0),1)+$G135,""),AND($B135&lt;&gt;"",$D135="COST",$G135&lt;0),$G135,TRUE,)</f>
        <v/>
      </c>
      <c r="J135" s="171" t="str">
        <f t="shared" si="137"/>
        <v/>
      </c>
      <c r="K135" s="283" t="str">
        <f t="shared" si="3"/>
        <v/>
      </c>
      <c r="L135" s="284" t="str">
        <f t="shared" si="4"/>
        <v/>
      </c>
      <c r="M135" s="285" t="str">
        <f t="shared" si="5"/>
        <v/>
      </c>
      <c r="N135" s="286" t="str">
        <f>IF($P135&lt;&gt;"",IF(MAXIFS(Investment!$M:$M,Investment!$H:$H,LEFT($P135,30)&amp;"*"),MAXIFS(Investment!$M:$M,Investment!$H:$H,LEFT($P135,30)&amp;"*"),),)</f>
        <v/>
      </c>
      <c r="O135" s="287" t="str">
        <f>IF($P135&lt;&gt;"",IF(MAXIFS(Investment!$AI:$AI,Investment!$H:$H,LEFT($P135,30)&amp;"*"),MAXIFS(Investment!$AI:$AI,Investment!$H:$H,LEFT($P135,30)&amp;"*"),),)</f>
        <v/>
      </c>
      <c r="P135" s="283"/>
      <c r="Q135" s="284"/>
      <c r="R135" s="288"/>
    </row>
    <row r="136">
      <c r="A136" s="165">
        <v>43677.0</v>
      </c>
      <c r="B136" s="166"/>
      <c r="C136" s="167"/>
      <c r="D136" s="168" t="s">
        <v>301</v>
      </c>
      <c r="E136" s="168"/>
      <c r="F136" s="169"/>
      <c r="G136" s="170">
        <v>-450.16</v>
      </c>
      <c r="H136" s="167" t="s">
        <v>604</v>
      </c>
      <c r="I136" s="171" t="str">
        <f t="shared" ref="I136:J136" si="138">IFS(AND($B136&lt;&gt;"",$E136&lt;&gt;""),IF(INDEX(N:N,MATCH($C136,$P:$P,0),1)&lt;&gt;"",$E136*INDEX(N:N,MATCH($C136,$P:$P,0),1)+$G136,""),AND($B136&lt;&gt;"",$D136="COST",$G136&lt;0),$G136,TRUE,)</f>
        <v/>
      </c>
      <c r="J136" s="171" t="str">
        <f t="shared" si="138"/>
        <v/>
      </c>
      <c r="K136" s="283" t="str">
        <f t="shared" si="3"/>
        <v/>
      </c>
      <c r="L136" s="284" t="str">
        <f t="shared" si="4"/>
        <v/>
      </c>
      <c r="M136" s="285" t="str">
        <f t="shared" si="5"/>
        <v/>
      </c>
      <c r="N136" s="286" t="str">
        <f>IF($P136&lt;&gt;"",IF(MAXIFS(Investment!$M:$M,Investment!$H:$H,LEFT($P136,30)&amp;"*"),MAXIFS(Investment!$M:$M,Investment!$H:$H,LEFT($P136,30)&amp;"*"),),)</f>
        <v/>
      </c>
      <c r="O136" s="287" t="str">
        <f>IF($P136&lt;&gt;"",IF(MAXIFS(Investment!$AI:$AI,Investment!$H:$H,LEFT($P136,30)&amp;"*"),MAXIFS(Investment!$AI:$AI,Investment!$H:$H,LEFT($P136,30)&amp;"*"),),)</f>
        <v/>
      </c>
      <c r="P136" s="283"/>
      <c r="Q136" s="284"/>
      <c r="R136" s="288"/>
    </row>
    <row r="137">
      <c r="A137" s="165">
        <v>43669.0</v>
      </c>
      <c r="B137" s="166" t="s">
        <v>118</v>
      </c>
      <c r="C137" s="167" t="s">
        <v>120</v>
      </c>
      <c r="D137" s="168" t="s">
        <v>332</v>
      </c>
      <c r="E137" s="168">
        <v>139.0</v>
      </c>
      <c r="F137" s="169">
        <v>7.24</v>
      </c>
      <c r="G137" s="170">
        <v>-1006.36</v>
      </c>
      <c r="H137" s="167" t="s">
        <v>605</v>
      </c>
      <c r="I137" s="171">
        <f t="shared" ref="I137:J137" si="139">IFS(AND($B137&lt;&gt;"",$E137&lt;&gt;""),IF(INDEX(N:N,MATCH($C137,$P:$P,0),1)&lt;&gt;"",$E137*INDEX(N:N,MATCH($C137,$P:$P,0),1)+$G137,""),AND($B137&lt;&gt;"",$D137="COST",$G137&lt;0),$G137,TRUE,)</f>
        <v>19.46</v>
      </c>
      <c r="J137" s="171">
        <f t="shared" si="139"/>
        <v>0.973545098</v>
      </c>
      <c r="K137" s="283" t="str">
        <f t="shared" si="3"/>
        <v>ETFS All Commodities ETC</v>
      </c>
      <c r="L137" s="284">
        <f t="shared" si="4"/>
        <v>11745</v>
      </c>
      <c r="M137" s="285">
        <f t="shared" si="5"/>
        <v>-84366.02</v>
      </c>
      <c r="N137" s="286" t="str">
        <f>IF($P137&lt;&gt;"",IF(MAXIFS(Investment!$M:$M,Investment!$H:$H,LEFT($P137,30)&amp;"*"),MAXIFS(Investment!$M:$M,Investment!$H:$H,LEFT($P137,30)&amp;"*"),),)</f>
        <v/>
      </c>
      <c r="O137" s="287" t="str">
        <f>IF($P137&lt;&gt;"",IF(MAXIFS(Investment!$AI:$AI,Investment!$H:$H,LEFT($P137,30)&amp;"*"),MAXIFS(Investment!$AI:$AI,Investment!$H:$H,LEFT($P137,30)&amp;"*"),),)</f>
        <v/>
      </c>
      <c r="P137" s="283"/>
      <c r="Q137" s="284"/>
      <c r="R137" s="288"/>
    </row>
    <row r="138">
      <c r="A138" s="165">
        <v>43669.0</v>
      </c>
      <c r="B138" s="166" t="s">
        <v>118</v>
      </c>
      <c r="C138" s="167" t="s">
        <v>120</v>
      </c>
      <c r="D138" s="168" t="s">
        <v>301</v>
      </c>
      <c r="E138" s="168"/>
      <c r="F138" s="169"/>
      <c r="G138" s="170">
        <v>-2.2</v>
      </c>
      <c r="H138" s="167" t="s">
        <v>606</v>
      </c>
      <c r="I138" s="171">
        <f t="shared" ref="I138:J138" si="140">IFS(AND($B138&lt;&gt;"",$E138&lt;&gt;""),IF(INDEX(N:N,MATCH($C138,$P:$P,0),1)&lt;&gt;"",$E138*INDEX(N:N,MATCH($C138,$P:$P,0),1)+$G138,""),AND($B138&lt;&gt;"",$D138="COST",$G138&lt;0),$G138,TRUE,)</f>
        <v>-2.2</v>
      </c>
      <c r="J138" s="171">
        <f t="shared" si="140"/>
        <v>-2.2</v>
      </c>
      <c r="K138" s="283" t="str">
        <f t="shared" si="3"/>
        <v>ETFS All Commodities ETC</v>
      </c>
      <c r="L138" s="284">
        <f t="shared" si="4"/>
        <v>11745</v>
      </c>
      <c r="M138" s="285">
        <f t="shared" si="5"/>
        <v>-84366.02</v>
      </c>
      <c r="N138" s="286" t="str">
        <f>IF($P138&lt;&gt;"",IF(MAXIFS(Investment!$M:$M,Investment!$H:$H,LEFT($P138,30)&amp;"*"),MAXIFS(Investment!$M:$M,Investment!$H:$H,LEFT($P138,30)&amp;"*"),),)</f>
        <v/>
      </c>
      <c r="O138" s="287" t="str">
        <f>IF($P138&lt;&gt;"",IF(MAXIFS(Investment!$AI:$AI,Investment!$H:$H,LEFT($P138,30)&amp;"*"),MAXIFS(Investment!$AI:$AI,Investment!$H:$H,LEFT($P138,30)&amp;"*"),),)</f>
        <v/>
      </c>
      <c r="P138" s="283"/>
      <c r="Q138" s="284"/>
      <c r="R138" s="288"/>
    </row>
    <row r="139">
      <c r="A139" s="165">
        <v>43665.0</v>
      </c>
      <c r="B139" s="166" t="s">
        <v>122</v>
      </c>
      <c r="C139" s="167" t="s">
        <v>123</v>
      </c>
      <c r="D139" s="168" t="s">
        <v>280</v>
      </c>
      <c r="E139" s="168">
        <v>-10.0</v>
      </c>
      <c r="F139" s="169">
        <v>121.84</v>
      </c>
      <c r="G139" s="170">
        <v>1218.4</v>
      </c>
      <c r="H139" s="167" t="s">
        <v>607</v>
      </c>
      <c r="I139" s="171">
        <f t="shared" ref="I139:J139" si="141">IFS(AND($B139&lt;&gt;"",$E139&lt;&gt;""),IF(INDEX(N:N,MATCH($C139,$P:$P,0),1)&lt;&gt;"",$E139*INDEX(N:N,MATCH($C139,$P:$P,0),1)+$G139,""),AND($B139&lt;&gt;"",$D139="COST",$G139&lt;0),$G139,TRUE,)</f>
        <v>-37.8</v>
      </c>
      <c r="J139" s="171">
        <f t="shared" si="141"/>
        <v>59.33803922</v>
      </c>
      <c r="K139" s="283" t="str">
        <f t="shared" si="3"/>
        <v>ETFS Physical Gold</v>
      </c>
      <c r="L139" s="284">
        <f t="shared" si="4"/>
        <v>353</v>
      </c>
      <c r="M139" s="285">
        <f t="shared" si="5"/>
        <v>-33586.49</v>
      </c>
      <c r="N139" s="286" t="str">
        <f>IF($P139&lt;&gt;"",IF(MAXIFS(Investment!$M:$M,Investment!$H:$H,LEFT($P139,30)&amp;"*"),MAXIFS(Investment!$M:$M,Investment!$H:$H,LEFT($P139,30)&amp;"*"),),)</f>
        <v/>
      </c>
      <c r="O139" s="287" t="str">
        <f>IF($P139&lt;&gt;"",IF(MAXIFS(Investment!$AI:$AI,Investment!$H:$H,LEFT($P139,30)&amp;"*"),MAXIFS(Investment!$AI:$AI,Investment!$H:$H,LEFT($P139,30)&amp;"*"),),)</f>
        <v/>
      </c>
      <c r="P139" s="283"/>
      <c r="Q139" s="284"/>
      <c r="R139" s="288"/>
    </row>
    <row r="140">
      <c r="A140" s="165">
        <v>43664.0</v>
      </c>
      <c r="B140" s="166" t="s">
        <v>118</v>
      </c>
      <c r="C140" s="167" t="s">
        <v>120</v>
      </c>
      <c r="D140" s="168" t="s">
        <v>332</v>
      </c>
      <c r="E140" s="168">
        <v>164.0</v>
      </c>
      <c r="F140" s="169">
        <v>7.2379</v>
      </c>
      <c r="G140" s="170">
        <v>-1187.03</v>
      </c>
      <c r="H140" s="167" t="s">
        <v>608</v>
      </c>
      <c r="I140" s="171">
        <f t="shared" ref="I140:J140" si="142">IFS(AND($B140&lt;&gt;"",$E140&lt;&gt;""),IF(INDEX(N:N,MATCH($C140,$P:$P,0),1)&lt;&gt;"",$E140*INDEX(N:N,MATCH($C140,$P:$P,0),1)+$G140,""),AND($B140&lt;&gt;"",$D140="COST",$G140&lt;0),$G140,TRUE,)</f>
        <v>23.29</v>
      </c>
      <c r="J140" s="171">
        <f t="shared" si="142"/>
        <v>1.478643137</v>
      </c>
      <c r="K140" s="283" t="str">
        <f t="shared" si="3"/>
        <v>ETFS All Commodities ETC</v>
      </c>
      <c r="L140" s="284">
        <f t="shared" si="4"/>
        <v>11745</v>
      </c>
      <c r="M140" s="285">
        <f t="shared" si="5"/>
        <v>-84366.02</v>
      </c>
      <c r="N140" s="286" t="str">
        <f>IF($P140&lt;&gt;"",IF(MAXIFS(Investment!$M:$M,Investment!$H:$H,LEFT($P140,30)&amp;"*"),MAXIFS(Investment!$M:$M,Investment!$H:$H,LEFT($P140,30)&amp;"*"),),)</f>
        <v/>
      </c>
      <c r="O140" s="287" t="str">
        <f>IF($P140&lt;&gt;"",IF(MAXIFS(Investment!$AI:$AI,Investment!$H:$H,LEFT($P140,30)&amp;"*"),MAXIFS(Investment!$AI:$AI,Investment!$H:$H,LEFT($P140,30)&amp;"*"),),)</f>
        <v/>
      </c>
      <c r="P140" s="283"/>
      <c r="Q140" s="284"/>
      <c r="R140" s="288"/>
    </row>
    <row r="141">
      <c r="A141" s="165">
        <v>43664.0</v>
      </c>
      <c r="B141" s="166" t="s">
        <v>118</v>
      </c>
      <c r="C141" s="167" t="s">
        <v>120</v>
      </c>
      <c r="D141" s="168" t="s">
        <v>301</v>
      </c>
      <c r="E141" s="168"/>
      <c r="F141" s="169"/>
      <c r="G141" s="170">
        <v>-2.24</v>
      </c>
      <c r="H141" s="167" t="s">
        <v>609</v>
      </c>
      <c r="I141" s="171">
        <f t="shared" ref="I141:J141" si="143">IFS(AND($B141&lt;&gt;"",$E141&lt;&gt;""),IF(INDEX(N:N,MATCH($C141,$P:$P,0),1)&lt;&gt;"",$E141*INDEX(N:N,MATCH($C141,$P:$P,0),1)+$G141,""),AND($B141&lt;&gt;"",$D141="COST",$G141&lt;0),$G141,TRUE,)</f>
        <v>-2.24</v>
      </c>
      <c r="J141" s="171">
        <f t="shared" si="143"/>
        <v>-2.24</v>
      </c>
      <c r="K141" s="283" t="str">
        <f t="shared" si="3"/>
        <v>ETFS All Commodities ETC</v>
      </c>
      <c r="L141" s="284">
        <f t="shared" si="4"/>
        <v>11745</v>
      </c>
      <c r="M141" s="285">
        <f t="shared" si="5"/>
        <v>-84366.02</v>
      </c>
      <c r="N141" s="286" t="str">
        <f>IF($P141&lt;&gt;"",IF(MAXIFS(Investment!$M:$M,Investment!$H:$H,LEFT($P141,30)&amp;"*"),MAXIFS(Investment!$M:$M,Investment!$H:$H,LEFT($P141,30)&amp;"*"),),)</f>
        <v/>
      </c>
      <c r="O141" s="287" t="str">
        <f>IF($P141&lt;&gt;"",IF(MAXIFS(Investment!$AI:$AI,Investment!$H:$H,LEFT($P141,30)&amp;"*"),MAXIFS(Investment!$AI:$AI,Investment!$H:$H,LEFT($P141,30)&amp;"*"),),)</f>
        <v/>
      </c>
      <c r="P141" s="283"/>
      <c r="Q141" s="284"/>
      <c r="R141" s="288"/>
    </row>
    <row r="142">
      <c r="A142" s="165">
        <v>43663.0</v>
      </c>
      <c r="B142" s="166" t="s">
        <v>118</v>
      </c>
      <c r="C142" s="167" t="s">
        <v>120</v>
      </c>
      <c r="D142" s="168" t="s">
        <v>332</v>
      </c>
      <c r="E142" s="168">
        <v>189.0</v>
      </c>
      <c r="F142" s="169">
        <v>7.2579</v>
      </c>
      <c r="G142" s="170">
        <v>-1371.76</v>
      </c>
      <c r="H142" s="167" t="s">
        <v>610</v>
      </c>
      <c r="I142" s="171">
        <f t="shared" ref="I142:J142" si="144">IFS(AND($B142&lt;&gt;"",$E142&lt;&gt;""),IF(INDEX(N:N,MATCH($C142,$P:$P,0),1)&lt;&gt;"",$E142*INDEX(N:N,MATCH($C142,$P:$P,0),1)+$G142,""),AND($B142&lt;&gt;"",$D142="COST",$G142&lt;0),$G142,TRUE,)</f>
        <v>23.06</v>
      </c>
      <c r="J142" s="171">
        <f t="shared" si="144"/>
        <v>-2.076258824</v>
      </c>
      <c r="K142" s="283" t="str">
        <f t="shared" si="3"/>
        <v>ETFS All Commodities ETC</v>
      </c>
      <c r="L142" s="284">
        <f t="shared" si="4"/>
        <v>11745</v>
      </c>
      <c r="M142" s="285">
        <f t="shared" si="5"/>
        <v>-84366.02</v>
      </c>
      <c r="N142" s="286" t="str">
        <f>IF($P142&lt;&gt;"",IF(MAXIFS(Investment!$M:$M,Investment!$H:$H,LEFT($P142,30)&amp;"*"),MAXIFS(Investment!$M:$M,Investment!$H:$H,LEFT($P142,30)&amp;"*"),),)</f>
        <v/>
      </c>
      <c r="O142" s="287" t="str">
        <f>IF($P142&lt;&gt;"",IF(MAXIFS(Investment!$AI:$AI,Investment!$H:$H,LEFT($P142,30)&amp;"*"),MAXIFS(Investment!$AI:$AI,Investment!$H:$H,LEFT($P142,30)&amp;"*"),),)</f>
        <v/>
      </c>
      <c r="P142" s="283"/>
      <c r="Q142" s="284"/>
      <c r="R142" s="288"/>
    </row>
    <row r="143">
      <c r="A143" s="165">
        <v>43663.0</v>
      </c>
      <c r="B143" s="166" t="s">
        <v>118</v>
      </c>
      <c r="C143" s="167" t="s">
        <v>120</v>
      </c>
      <c r="D143" s="168" t="s">
        <v>301</v>
      </c>
      <c r="E143" s="168"/>
      <c r="F143" s="169"/>
      <c r="G143" s="170">
        <v>-0.27</v>
      </c>
      <c r="H143" s="167" t="s">
        <v>611</v>
      </c>
      <c r="I143" s="171">
        <f t="shared" ref="I143:J143" si="145">IFS(AND($B143&lt;&gt;"",$E143&lt;&gt;""),IF(INDEX(N:N,MATCH($C143,$P:$P,0),1)&lt;&gt;"",$E143*INDEX(N:N,MATCH($C143,$P:$P,0),1)+$G143,""),AND($B143&lt;&gt;"",$D143="COST",$G143&lt;0),$G143,TRUE,)</f>
        <v>-0.27</v>
      </c>
      <c r="J143" s="171">
        <f t="shared" si="145"/>
        <v>-0.27</v>
      </c>
      <c r="K143" s="283" t="str">
        <f t="shared" si="3"/>
        <v>ETFS All Commodities ETC</v>
      </c>
      <c r="L143" s="284">
        <f t="shared" si="4"/>
        <v>11745</v>
      </c>
      <c r="M143" s="285">
        <f t="shared" si="5"/>
        <v>-84366.02</v>
      </c>
      <c r="N143" s="286" t="str">
        <f>IF($P143&lt;&gt;"",IF(MAXIFS(Investment!$M:$M,Investment!$H:$H,LEFT($P143,30)&amp;"*"),MAXIFS(Investment!$M:$M,Investment!$H:$H,LEFT($P143,30)&amp;"*"),),)</f>
        <v/>
      </c>
      <c r="O143" s="287" t="str">
        <f>IF($P143&lt;&gt;"",IF(MAXIFS(Investment!$AI:$AI,Investment!$H:$H,LEFT($P143,30)&amp;"*"),MAXIFS(Investment!$AI:$AI,Investment!$H:$H,LEFT($P143,30)&amp;"*"),),)</f>
        <v/>
      </c>
      <c r="P143" s="283"/>
      <c r="Q143" s="284"/>
      <c r="R143" s="288"/>
    </row>
    <row r="144">
      <c r="A144" s="165">
        <v>43663.0</v>
      </c>
      <c r="B144" s="166" t="s">
        <v>118</v>
      </c>
      <c r="C144" s="167" t="s">
        <v>120</v>
      </c>
      <c r="D144" s="168" t="s">
        <v>332</v>
      </c>
      <c r="E144" s="168">
        <v>263.0</v>
      </c>
      <c r="F144" s="169">
        <v>7.2579</v>
      </c>
      <c r="G144" s="170">
        <v>-1908.85</v>
      </c>
      <c r="H144" s="167" t="s">
        <v>612</v>
      </c>
      <c r="I144" s="171">
        <f t="shared" ref="I144:J144" si="146">IFS(AND($B144&lt;&gt;"",$E144&lt;&gt;""),IF(INDEX(N:N,MATCH($C144,$P:$P,0),1)&lt;&gt;"",$E144*INDEX(N:N,MATCH($C144,$P:$P,0),1)+$G144,""),AND($B144&lt;&gt;"",$D144="COST",$G144&lt;0),$G144,TRUE,)</f>
        <v>32.09</v>
      </c>
      <c r="J144" s="171">
        <f t="shared" si="146"/>
        <v>-2.887968627</v>
      </c>
      <c r="K144" s="283" t="str">
        <f t="shared" si="3"/>
        <v>ETFS All Commodities ETC</v>
      </c>
      <c r="L144" s="284">
        <f t="shared" si="4"/>
        <v>11745</v>
      </c>
      <c r="M144" s="285">
        <f t="shared" si="5"/>
        <v>-84366.02</v>
      </c>
      <c r="N144" s="286" t="str">
        <f>IF($P144&lt;&gt;"",IF(MAXIFS(Investment!$M:$M,Investment!$H:$H,LEFT($P144,30)&amp;"*"),MAXIFS(Investment!$M:$M,Investment!$H:$H,LEFT($P144,30)&amp;"*"),),)</f>
        <v/>
      </c>
      <c r="O144" s="287" t="str">
        <f>IF($P144&lt;&gt;"",IF(MAXIFS(Investment!$AI:$AI,Investment!$H:$H,LEFT($P144,30)&amp;"*"),MAXIFS(Investment!$AI:$AI,Investment!$H:$H,LEFT($P144,30)&amp;"*"),),)</f>
        <v/>
      </c>
      <c r="P144" s="283"/>
      <c r="Q144" s="284"/>
      <c r="R144" s="288"/>
    </row>
    <row r="145">
      <c r="A145" s="165">
        <v>43663.0</v>
      </c>
      <c r="B145" s="166" t="s">
        <v>118</v>
      </c>
      <c r="C145" s="167" t="s">
        <v>120</v>
      </c>
      <c r="D145" s="168" t="s">
        <v>301</v>
      </c>
      <c r="E145" s="168"/>
      <c r="F145" s="169"/>
      <c r="G145" s="170">
        <v>-2.38</v>
      </c>
      <c r="H145" s="167" t="s">
        <v>613</v>
      </c>
      <c r="I145" s="171">
        <f t="shared" ref="I145:J145" si="147">IFS(AND($B145&lt;&gt;"",$E145&lt;&gt;""),IF(INDEX(N:N,MATCH($C145,$P:$P,0),1)&lt;&gt;"",$E145*INDEX(N:N,MATCH($C145,$P:$P,0),1)+$G145,""),AND($B145&lt;&gt;"",$D145="COST",$G145&lt;0),$G145,TRUE,)</f>
        <v>-2.38</v>
      </c>
      <c r="J145" s="171">
        <f t="shared" si="147"/>
        <v>-2.38</v>
      </c>
      <c r="K145" s="283" t="str">
        <f t="shared" si="3"/>
        <v>ETFS All Commodities ETC</v>
      </c>
      <c r="L145" s="284">
        <f t="shared" si="4"/>
        <v>11745</v>
      </c>
      <c r="M145" s="285">
        <f t="shared" si="5"/>
        <v>-84366.02</v>
      </c>
      <c r="N145" s="286" t="str">
        <f>IF($P145&lt;&gt;"",IF(MAXIFS(Investment!$M:$M,Investment!$H:$H,LEFT($P145,30)&amp;"*"),MAXIFS(Investment!$M:$M,Investment!$H:$H,LEFT($P145,30)&amp;"*"),),)</f>
        <v/>
      </c>
      <c r="O145" s="287" t="str">
        <f>IF($P145&lt;&gt;"",IF(MAXIFS(Investment!$AI:$AI,Investment!$H:$H,LEFT($P145,30)&amp;"*"),MAXIFS(Investment!$AI:$AI,Investment!$H:$H,LEFT($P145,30)&amp;"*"),),)</f>
        <v/>
      </c>
      <c r="P145" s="283"/>
      <c r="Q145" s="284"/>
      <c r="R145" s="288"/>
    </row>
    <row r="146">
      <c r="A146" s="165">
        <v>43661.0</v>
      </c>
      <c r="B146" s="166" t="s">
        <v>118</v>
      </c>
      <c r="C146" s="167" t="s">
        <v>120</v>
      </c>
      <c r="D146" s="168" t="s">
        <v>280</v>
      </c>
      <c r="E146" s="168">
        <v>-339.0</v>
      </c>
      <c r="F146" s="169">
        <v>7.35</v>
      </c>
      <c r="G146" s="170">
        <v>2491.65</v>
      </c>
      <c r="H146" s="167" t="s">
        <v>614</v>
      </c>
      <c r="I146" s="171">
        <f t="shared" ref="I146:J146" si="148">IFS(AND($B146&lt;&gt;"",$E146&lt;&gt;""),IF(INDEX(N:N,MATCH($C146,$P:$P,0),1)&lt;&gt;"",$E146*INDEX(N:N,MATCH($C146,$P:$P,0),1)+$G146,""),AND($B146&lt;&gt;"",$D146="COST",$G146&lt;0),$G146,TRUE,)</f>
        <v>-10.17</v>
      </c>
      <c r="J146" s="171">
        <f t="shared" si="148"/>
        <v>34.91567059</v>
      </c>
      <c r="K146" s="283" t="str">
        <f t="shared" si="3"/>
        <v>ETFS All Commodities ETC</v>
      </c>
      <c r="L146" s="284">
        <f t="shared" si="4"/>
        <v>11745</v>
      </c>
      <c r="M146" s="285">
        <f t="shared" si="5"/>
        <v>-84366.02</v>
      </c>
      <c r="N146" s="286" t="str">
        <f>IF($P146&lt;&gt;"",IF(MAXIFS(Investment!$M:$M,Investment!$H:$H,LEFT($P146,30)&amp;"*"),MAXIFS(Investment!$M:$M,Investment!$H:$H,LEFT($P146,30)&amp;"*"),),)</f>
        <v/>
      </c>
      <c r="O146" s="287" t="str">
        <f>IF($P146&lt;&gt;"",IF(MAXIFS(Investment!$AI:$AI,Investment!$H:$H,LEFT($P146,30)&amp;"*"),MAXIFS(Investment!$AI:$AI,Investment!$H:$H,LEFT($P146,30)&amp;"*"),),)</f>
        <v/>
      </c>
      <c r="P146" s="283"/>
      <c r="Q146" s="284"/>
      <c r="R146" s="288"/>
    </row>
    <row r="147">
      <c r="A147" s="165">
        <v>43658.0</v>
      </c>
      <c r="B147" s="166" t="s">
        <v>138</v>
      </c>
      <c r="C147" s="167" t="s">
        <v>139</v>
      </c>
      <c r="D147" s="168" t="s">
        <v>280</v>
      </c>
      <c r="E147" s="168">
        <v>-77.0</v>
      </c>
      <c r="F147" s="169">
        <v>50.7</v>
      </c>
      <c r="G147" s="170">
        <v>3903.9</v>
      </c>
      <c r="H147" s="167" t="s">
        <v>615</v>
      </c>
      <c r="I147" s="171">
        <f t="shared" ref="I147:J147" si="149">IFS(AND($B147&lt;&gt;"",$E147&lt;&gt;""),IF(INDEX(N:N,MATCH($C147,$P:$P,0),1)&lt;&gt;"",$E147*INDEX(N:N,MATCH($C147,$P:$P,0),1)+$G147,""),AND($B147&lt;&gt;"",$D147="COST",$G147&lt;0),$G147,TRUE,)</f>
        <v>-199.045</v>
      </c>
      <c r="J147" s="171">
        <f t="shared" si="149"/>
        <v>197.2906078</v>
      </c>
      <c r="K147" s="283" t="str">
        <f t="shared" si="3"/>
        <v>Vanguard S&amp;P 500 UCITS</v>
      </c>
      <c r="L147" s="284">
        <f t="shared" si="4"/>
        <v>3715</v>
      </c>
      <c r="M147" s="285">
        <f t="shared" si="5"/>
        <v>-151722.66</v>
      </c>
      <c r="N147" s="286" t="str">
        <f>IF($P147&lt;&gt;"",IF(MAXIFS(Investment!$M:$M,Investment!$H:$H,LEFT($P147,30)&amp;"*"),MAXIFS(Investment!$M:$M,Investment!$H:$H,LEFT($P147,30)&amp;"*"),),)</f>
        <v/>
      </c>
      <c r="O147" s="287" t="str">
        <f>IF($P147&lt;&gt;"",IF(MAXIFS(Investment!$AI:$AI,Investment!$H:$H,LEFT($P147,30)&amp;"*"),MAXIFS(Investment!$AI:$AI,Investment!$H:$H,LEFT($P147,30)&amp;"*"),),)</f>
        <v/>
      </c>
      <c r="P147" s="283"/>
      <c r="Q147" s="284"/>
      <c r="R147" s="288"/>
    </row>
    <row r="148">
      <c r="A148" s="165">
        <v>43657.0</v>
      </c>
      <c r="B148" s="166" t="s">
        <v>138</v>
      </c>
      <c r="C148" s="167" t="s">
        <v>139</v>
      </c>
      <c r="D148" s="168" t="s">
        <v>307</v>
      </c>
      <c r="E148" s="168"/>
      <c r="F148" s="169"/>
      <c r="G148" s="170">
        <v>-107.73</v>
      </c>
      <c r="H148" s="167" t="s">
        <v>616</v>
      </c>
      <c r="I148" s="171" t="str">
        <f t="shared" ref="I148:J148" si="150">IFS(AND($B148&lt;&gt;"",$E148&lt;&gt;""),IF(INDEX(N:N,MATCH($C148,$P:$P,0),1)&lt;&gt;"",$E148*INDEX(N:N,MATCH($C148,$P:$P,0),1)+$G148,""),AND($B148&lt;&gt;"",$D148="COST",$G148&lt;0),$G148,TRUE,)</f>
        <v/>
      </c>
      <c r="J148" s="171" t="str">
        <f t="shared" si="150"/>
        <v/>
      </c>
      <c r="K148" s="283" t="str">
        <f t="shared" si="3"/>
        <v>Vanguard S&amp;P 500 UCITS</v>
      </c>
      <c r="L148" s="284">
        <f t="shared" si="4"/>
        <v>3715</v>
      </c>
      <c r="M148" s="285">
        <f t="shared" si="5"/>
        <v>-151722.66</v>
      </c>
      <c r="N148" s="286" t="str">
        <f>IF($P148&lt;&gt;"",IF(MAXIFS(Investment!$M:$M,Investment!$H:$H,LEFT($P148,30)&amp;"*"),MAXIFS(Investment!$M:$M,Investment!$H:$H,LEFT($P148,30)&amp;"*"),),)</f>
        <v/>
      </c>
      <c r="O148" s="287" t="str">
        <f>IF($P148&lt;&gt;"",IF(MAXIFS(Investment!$AI:$AI,Investment!$H:$H,LEFT($P148,30)&amp;"*"),MAXIFS(Investment!$AI:$AI,Investment!$H:$H,LEFT($P148,30)&amp;"*"),),)</f>
        <v/>
      </c>
      <c r="P148" s="283"/>
      <c r="Q148" s="284"/>
      <c r="R148" s="288"/>
    </row>
    <row r="149">
      <c r="A149" s="165">
        <v>43656.0</v>
      </c>
      <c r="B149" s="166" t="s">
        <v>138</v>
      </c>
      <c r="C149" s="167" t="s">
        <v>139</v>
      </c>
      <c r="D149" s="168" t="s">
        <v>307</v>
      </c>
      <c r="E149" s="168"/>
      <c r="F149" s="169"/>
      <c r="G149" s="170">
        <v>959.36</v>
      </c>
      <c r="H149" s="167" t="s">
        <v>617</v>
      </c>
      <c r="I149" s="171" t="str">
        <f t="shared" ref="I149:J149" si="151">IFS(AND($B149&lt;&gt;"",$E149&lt;&gt;""),IF(INDEX(N:N,MATCH($C149,$P:$P,0),1)&lt;&gt;"",$E149*INDEX(N:N,MATCH($C149,$P:$P,0),1)+$G149,""),AND($B149&lt;&gt;"",$D149="COST",$G149&lt;0),$G149,TRUE,)</f>
        <v/>
      </c>
      <c r="J149" s="171" t="str">
        <f t="shared" si="151"/>
        <v/>
      </c>
      <c r="K149" s="283" t="str">
        <f t="shared" si="3"/>
        <v>Vanguard S&amp;P 500 UCITS</v>
      </c>
      <c r="L149" s="284">
        <f t="shared" si="4"/>
        <v>3715</v>
      </c>
      <c r="M149" s="285">
        <f t="shared" si="5"/>
        <v>-151722.66</v>
      </c>
      <c r="N149" s="286" t="str">
        <f>IF($P149&lt;&gt;"",IF(MAXIFS(Investment!$M:$M,Investment!$H:$H,LEFT($P149,30)&amp;"*"),MAXIFS(Investment!$M:$M,Investment!$H:$H,LEFT($P149,30)&amp;"*"),),)</f>
        <v/>
      </c>
      <c r="O149" s="287" t="str">
        <f>IF($P149&lt;&gt;"",IF(MAXIFS(Investment!$AI:$AI,Investment!$H:$H,LEFT($P149,30)&amp;"*"),MAXIFS(Investment!$AI:$AI,Investment!$H:$H,LEFT($P149,30)&amp;"*"),),)</f>
        <v/>
      </c>
      <c r="P149" s="283"/>
      <c r="Q149" s="284"/>
      <c r="R149" s="288"/>
    </row>
    <row r="150">
      <c r="A150" s="165">
        <v>43656.0</v>
      </c>
      <c r="B150" s="166" t="s">
        <v>138</v>
      </c>
      <c r="C150" s="166" t="s">
        <v>139</v>
      </c>
      <c r="D150" s="166" t="s">
        <v>307</v>
      </c>
      <c r="E150" s="264"/>
      <c r="F150" s="290"/>
      <c r="G150" s="170">
        <v>16.67</v>
      </c>
      <c r="H150" s="289" t="s">
        <v>618</v>
      </c>
      <c r="I150" s="171" t="str">
        <f t="shared" ref="I150:J150" si="152">IFS(AND($B150&lt;&gt;"",$E150&lt;&gt;""),IF(INDEX(N:N,MATCH($C150,$P:$P,0),1)&lt;&gt;"",$E150*INDEX(N:N,MATCH($C150,$P:$P,0),1)+$G150,""),AND($B150&lt;&gt;"",$D150="COST",$G150&lt;0),$G150,TRUE,)</f>
        <v/>
      </c>
      <c r="J150" s="171" t="str">
        <f t="shared" si="152"/>
        <v/>
      </c>
      <c r="K150" s="283" t="str">
        <f t="shared" si="3"/>
        <v>Vanguard S&amp;P 500 UCITS</v>
      </c>
      <c r="L150" s="284">
        <f t="shared" si="4"/>
        <v>3715</v>
      </c>
      <c r="M150" s="285">
        <f t="shared" si="5"/>
        <v>-151722.66</v>
      </c>
      <c r="N150" s="286" t="str">
        <f>IF($P150&lt;&gt;"",IF(MAXIFS(Investment!$M:$M,Investment!$H:$H,LEFT($P150,30)&amp;"*"),MAXIFS(Investment!$M:$M,Investment!$H:$H,LEFT($P150,30)&amp;"*"),),)</f>
        <v/>
      </c>
      <c r="O150" s="287" t="str">
        <f>IF($P150&lt;&gt;"",IF(MAXIFS(Investment!$AI:$AI,Investment!$H:$H,LEFT($P150,30)&amp;"*"),MAXIFS(Investment!$AI:$AI,Investment!$H:$H,LEFT($P150,30)&amp;"*"),),)</f>
        <v/>
      </c>
      <c r="P150" s="283"/>
      <c r="Q150" s="284"/>
      <c r="R150" s="288"/>
    </row>
    <row r="151">
      <c r="A151" s="165">
        <v>43651.0</v>
      </c>
      <c r="B151" s="166" t="s">
        <v>138</v>
      </c>
      <c r="C151" s="167" t="s">
        <v>139</v>
      </c>
      <c r="D151" s="168" t="s">
        <v>280</v>
      </c>
      <c r="E151" s="168">
        <v>-38.0</v>
      </c>
      <c r="F151" s="169">
        <v>50.37</v>
      </c>
      <c r="G151" s="170">
        <v>1914.06</v>
      </c>
      <c r="H151" s="167" t="s">
        <v>619</v>
      </c>
      <c r="I151" s="171">
        <f t="shared" ref="I151:J151" si="153">IFS(AND($B151&lt;&gt;"",$E151&lt;&gt;""),IF(INDEX(N:N,MATCH($C151,$P:$P,0),1)&lt;&gt;"",$E151*INDEX(N:N,MATCH($C151,$P:$P,0),1)+$G151,""),AND($B151&lt;&gt;"",$D151="COST",$G151&lt;0),$G151,TRUE,)</f>
        <v>-110.77</v>
      </c>
      <c r="J151" s="171">
        <f t="shared" si="153"/>
        <v>84.82419608</v>
      </c>
      <c r="K151" s="283" t="str">
        <f t="shared" si="3"/>
        <v>Vanguard S&amp;P 500 UCITS</v>
      </c>
      <c r="L151" s="284">
        <f t="shared" si="4"/>
        <v>3715</v>
      </c>
      <c r="M151" s="285">
        <f t="shared" si="5"/>
        <v>-151722.66</v>
      </c>
      <c r="N151" s="286" t="str">
        <f>IF($P151&lt;&gt;"",IF(MAXIFS(Investment!$M:$M,Investment!$H:$H,LEFT($P151,30)&amp;"*"),MAXIFS(Investment!$M:$M,Investment!$H:$H,LEFT($P151,30)&amp;"*"),),)</f>
        <v/>
      </c>
      <c r="O151" s="287" t="str">
        <f>IF($P151&lt;&gt;"",IF(MAXIFS(Investment!$AI:$AI,Investment!$H:$H,LEFT($P151,30)&amp;"*"),MAXIFS(Investment!$AI:$AI,Investment!$H:$H,LEFT($P151,30)&amp;"*"),),)</f>
        <v/>
      </c>
      <c r="P151" s="283"/>
      <c r="Q151" s="284"/>
      <c r="R151" s="288"/>
    </row>
    <row r="152">
      <c r="A152" s="165">
        <v>43648.0</v>
      </c>
      <c r="B152" s="166"/>
      <c r="C152" s="167"/>
      <c r="D152" s="168" t="s">
        <v>299</v>
      </c>
      <c r="E152" s="168"/>
      <c r="F152" s="169"/>
      <c r="G152" s="170">
        <v>-500.0</v>
      </c>
      <c r="H152" s="167" t="s">
        <v>620</v>
      </c>
      <c r="I152" s="171" t="str">
        <f t="shared" ref="I152:J152" si="154">IFS(AND($B152&lt;&gt;"",$E152&lt;&gt;""),IF(INDEX(N:N,MATCH($C152,$P:$P,0),1)&lt;&gt;"",$E152*INDEX(N:N,MATCH($C152,$P:$P,0),1)+$G152,""),AND($B152&lt;&gt;"",$D152="COST",$G152&lt;0),$G152,TRUE,)</f>
        <v/>
      </c>
      <c r="J152" s="171" t="str">
        <f t="shared" si="154"/>
        <v/>
      </c>
      <c r="K152" s="283" t="str">
        <f t="shared" si="3"/>
        <v/>
      </c>
      <c r="L152" s="284" t="str">
        <f t="shared" si="4"/>
        <v/>
      </c>
      <c r="M152" s="285" t="str">
        <f t="shared" si="5"/>
        <v/>
      </c>
      <c r="N152" s="286" t="str">
        <f>IF($P152&lt;&gt;"",IF(MAXIFS(Investment!$M:$M,Investment!$H:$H,LEFT($P152,30)&amp;"*"),MAXIFS(Investment!$M:$M,Investment!$H:$H,LEFT($P152,30)&amp;"*"),),)</f>
        <v/>
      </c>
      <c r="O152" s="287" t="str">
        <f>IF($P152&lt;&gt;"",IF(MAXIFS(Investment!$AI:$AI,Investment!$H:$H,LEFT($P152,30)&amp;"*"),MAXIFS(Investment!$AI:$AI,Investment!$H:$H,LEFT($P152,30)&amp;"*"),),)</f>
        <v/>
      </c>
      <c r="P152" s="283"/>
      <c r="Q152" s="284"/>
      <c r="R152" s="288"/>
    </row>
    <row r="153">
      <c r="A153" s="165">
        <v>43646.0</v>
      </c>
      <c r="B153" s="166"/>
      <c r="C153" s="167"/>
      <c r="D153" s="168" t="s">
        <v>301</v>
      </c>
      <c r="E153" s="168"/>
      <c r="F153" s="169"/>
      <c r="G153" s="170">
        <v>-495.83</v>
      </c>
      <c r="H153" s="167" t="s">
        <v>621</v>
      </c>
      <c r="I153" s="171" t="str">
        <f t="shared" ref="I153:J153" si="155">IFS(AND($B153&lt;&gt;"",$E153&lt;&gt;""),IF(INDEX(N:N,MATCH($C153,$P:$P,0),1)&lt;&gt;"",$E153*INDEX(N:N,MATCH($C153,$P:$P,0),1)+$G153,""),AND($B153&lt;&gt;"",$D153="COST",$G153&lt;0),$G153,TRUE,)</f>
        <v/>
      </c>
      <c r="J153" s="171" t="str">
        <f t="shared" si="155"/>
        <v/>
      </c>
      <c r="K153" s="283" t="str">
        <f t="shared" si="3"/>
        <v/>
      </c>
      <c r="L153" s="284" t="str">
        <f t="shared" si="4"/>
        <v/>
      </c>
      <c r="M153" s="285" t="str">
        <f t="shared" si="5"/>
        <v/>
      </c>
      <c r="N153" s="286" t="str">
        <f>IF($P153&lt;&gt;"",IF(MAXIFS(Investment!$M:$M,Investment!$H:$H,LEFT($P153,30)&amp;"*"),MAXIFS(Investment!$M:$M,Investment!$H:$H,LEFT($P153,30)&amp;"*"),),)</f>
        <v/>
      </c>
      <c r="O153" s="287" t="str">
        <f>IF($P153&lt;&gt;"",IF(MAXIFS(Investment!$AI:$AI,Investment!$H:$H,LEFT($P153,30)&amp;"*"),MAXIFS(Investment!$AI:$AI,Investment!$H:$H,LEFT($P153,30)&amp;"*"),),)</f>
        <v/>
      </c>
      <c r="P153" s="283"/>
      <c r="Q153" s="284"/>
      <c r="R153" s="288"/>
    </row>
    <row r="154">
      <c r="A154" s="165">
        <v>43642.0</v>
      </c>
      <c r="B154" s="166" t="s">
        <v>134</v>
      </c>
      <c r="C154" s="166" t="s">
        <v>135</v>
      </c>
      <c r="D154" s="166" t="s">
        <v>307</v>
      </c>
      <c r="E154" s="264"/>
      <c r="F154" s="290"/>
      <c r="G154" s="170">
        <v>-487.06</v>
      </c>
      <c r="H154" s="167" t="s">
        <v>622</v>
      </c>
      <c r="I154" s="171" t="str">
        <f t="shared" ref="I154:J154" si="156">IFS(AND($B154&lt;&gt;"",$E154&lt;&gt;""),IF(INDEX(N:N,MATCH($C154,$P:$P,0),1)&lt;&gt;"",$E154*INDEX(N:N,MATCH($C154,$P:$P,0),1)+$G154,""),AND($B154&lt;&gt;"",$D154="COST",$G154&lt;0),$G154,TRUE,)</f>
        <v/>
      </c>
      <c r="J154" s="171" t="str">
        <f t="shared" si="156"/>
        <v/>
      </c>
      <c r="K154" s="283" t="str">
        <f t="shared" si="3"/>
        <v>iShares Treasury Bond 20+ UCITS</v>
      </c>
      <c r="L154" s="284">
        <f t="shared" si="4"/>
        <v>53253</v>
      </c>
      <c r="M154" s="285">
        <f t="shared" si="5"/>
        <v>-206464.56</v>
      </c>
      <c r="N154" s="286" t="str">
        <f>IF($P154&lt;&gt;"",IF(MAXIFS(Investment!$M:$M,Investment!$H:$H,LEFT($P154,30)&amp;"*"),MAXIFS(Investment!$M:$M,Investment!$H:$H,LEFT($P154,30)&amp;"*"),),)</f>
        <v/>
      </c>
      <c r="O154" s="287" t="str">
        <f>IF($P154&lt;&gt;"",IF(MAXIFS(Investment!$AI:$AI,Investment!$H:$H,LEFT($P154,30)&amp;"*"),MAXIFS(Investment!$AI:$AI,Investment!$H:$H,LEFT($P154,30)&amp;"*"),),)</f>
        <v/>
      </c>
      <c r="P154" s="283"/>
      <c r="Q154" s="284"/>
      <c r="R154" s="288"/>
    </row>
    <row r="155">
      <c r="A155" s="165">
        <v>43642.0</v>
      </c>
      <c r="B155" s="166" t="s">
        <v>134</v>
      </c>
      <c r="C155" s="166" t="s">
        <v>135</v>
      </c>
      <c r="D155" s="166" t="s">
        <v>307</v>
      </c>
      <c r="E155" s="264"/>
      <c r="F155" s="290"/>
      <c r="G155" s="170">
        <v>48.88</v>
      </c>
      <c r="H155" s="289" t="s">
        <v>623</v>
      </c>
      <c r="I155" s="171" t="str">
        <f t="shared" ref="I155:J155" si="157">IFS(AND($B155&lt;&gt;"",$E155&lt;&gt;""),IF(INDEX(N:N,MATCH($C155,$P:$P,0),1)&lt;&gt;"",$E155*INDEX(N:N,MATCH($C155,$P:$P,0),1)+$G155,""),AND($B155&lt;&gt;"",$D155="COST",$G155&lt;0),$G155,TRUE,)</f>
        <v/>
      </c>
      <c r="J155" s="171" t="str">
        <f t="shared" si="157"/>
        <v/>
      </c>
      <c r="K155" s="283" t="str">
        <f t="shared" si="3"/>
        <v>iShares Treasury Bond 20+ UCITS</v>
      </c>
      <c r="L155" s="284">
        <f t="shared" si="4"/>
        <v>53253</v>
      </c>
      <c r="M155" s="285">
        <f t="shared" si="5"/>
        <v>-206464.56</v>
      </c>
      <c r="N155" s="286" t="str">
        <f>IF($P155&lt;&gt;"",IF(MAXIFS(Investment!$M:$M,Investment!$H:$H,LEFT($P155,30)&amp;"*"),MAXIFS(Investment!$M:$M,Investment!$H:$H,LEFT($P155,30)&amp;"*"),),)</f>
        <v/>
      </c>
      <c r="O155" s="287" t="str">
        <f>IF($P155&lt;&gt;"",IF(MAXIFS(Investment!$AI:$AI,Investment!$H:$H,LEFT($P155,30)&amp;"*"),MAXIFS(Investment!$AI:$AI,Investment!$H:$H,LEFT($P155,30)&amp;"*"),),)</f>
        <v/>
      </c>
      <c r="P155" s="283"/>
      <c r="Q155" s="284"/>
      <c r="R155" s="288"/>
    </row>
    <row r="156">
      <c r="A156" s="165">
        <v>43642.0</v>
      </c>
      <c r="B156" s="166" t="s">
        <v>134</v>
      </c>
      <c r="C156" s="166" t="s">
        <v>135</v>
      </c>
      <c r="D156" s="166" t="s">
        <v>307</v>
      </c>
      <c r="E156" s="264"/>
      <c r="F156" s="290"/>
      <c r="G156" s="170">
        <v>4012.65</v>
      </c>
      <c r="H156" s="167" t="s">
        <v>624</v>
      </c>
      <c r="I156" s="171" t="str">
        <f t="shared" ref="I156:J156" si="158">IFS(AND($B156&lt;&gt;"",$E156&lt;&gt;""),IF(INDEX(N:N,MATCH($C156,$P:$P,0),1)&lt;&gt;"",$E156*INDEX(N:N,MATCH($C156,$P:$P,0),1)+$G156,""),AND($B156&lt;&gt;"",$D156="COST",$G156&lt;0),$G156,TRUE,)</f>
        <v/>
      </c>
      <c r="J156" s="171" t="str">
        <f t="shared" si="158"/>
        <v/>
      </c>
      <c r="K156" s="283" t="str">
        <f t="shared" si="3"/>
        <v>iShares Treasury Bond 20+ UCITS</v>
      </c>
      <c r="L156" s="284">
        <f t="shared" si="4"/>
        <v>53253</v>
      </c>
      <c r="M156" s="285">
        <f t="shared" si="5"/>
        <v>-206464.56</v>
      </c>
      <c r="N156" s="286" t="str">
        <f>IF($P156&lt;&gt;"",IF(MAXIFS(Investment!$M:$M,Investment!$H:$H,LEFT($P156,30)&amp;"*"),MAXIFS(Investment!$M:$M,Investment!$H:$H,LEFT($P156,30)&amp;"*"),),)</f>
        <v/>
      </c>
      <c r="O156" s="287" t="str">
        <f>IF($P156&lt;&gt;"",IF(MAXIFS(Investment!$AI:$AI,Investment!$H:$H,LEFT($P156,30)&amp;"*"),MAXIFS(Investment!$AI:$AI,Investment!$H:$H,LEFT($P156,30)&amp;"*"),),)</f>
        <v/>
      </c>
      <c r="P156" s="283"/>
      <c r="Q156" s="284"/>
      <c r="R156" s="288"/>
    </row>
    <row r="157">
      <c r="A157" s="165">
        <v>43642.0</v>
      </c>
      <c r="B157" s="166"/>
      <c r="C157" s="166"/>
      <c r="D157" s="166" t="s">
        <v>299</v>
      </c>
      <c r="E157" s="264"/>
      <c r="F157" s="290"/>
      <c r="G157" s="170">
        <v>2000.0</v>
      </c>
      <c r="H157" s="167" t="s">
        <v>625</v>
      </c>
      <c r="I157" s="171" t="str">
        <f t="shared" ref="I157:J157" si="159">IFS(AND($B157&lt;&gt;"",$E157&lt;&gt;""),IF(INDEX(N:N,MATCH($C157,$P:$P,0),1)&lt;&gt;"",$E157*INDEX(N:N,MATCH($C157,$P:$P,0),1)+$G157,""),AND($B157&lt;&gt;"",$D157="COST",$G157&lt;0),$G157,TRUE,)</f>
        <v/>
      </c>
      <c r="J157" s="171" t="str">
        <f t="shared" si="159"/>
        <v/>
      </c>
      <c r="K157" s="283" t="str">
        <f t="shared" si="3"/>
        <v/>
      </c>
      <c r="L157" s="284" t="str">
        <f t="shared" si="4"/>
        <v/>
      </c>
      <c r="M157" s="285" t="str">
        <f t="shared" si="5"/>
        <v/>
      </c>
      <c r="N157" s="286" t="str">
        <f>IF($P157&lt;&gt;"",IF(MAXIFS(Investment!$M:$M,Investment!$H:$H,LEFT($P157,30)&amp;"*"),MAXIFS(Investment!$M:$M,Investment!$H:$H,LEFT($P157,30)&amp;"*"),),)</f>
        <v/>
      </c>
      <c r="O157" s="287" t="str">
        <f>IF($P157&lt;&gt;"",IF(MAXIFS(Investment!$AI:$AI,Investment!$H:$H,LEFT($P157,30)&amp;"*"),MAXIFS(Investment!$AI:$AI,Investment!$H:$H,LEFT($P157,30)&amp;"*"),),)</f>
        <v/>
      </c>
      <c r="P157" s="283"/>
      <c r="Q157" s="284"/>
      <c r="R157" s="288"/>
    </row>
    <row r="158">
      <c r="A158" s="165">
        <v>43641.0</v>
      </c>
      <c r="B158" s="166" t="s">
        <v>122</v>
      </c>
      <c r="C158" s="166" t="s">
        <v>123</v>
      </c>
      <c r="D158" s="166" t="s">
        <v>280</v>
      </c>
      <c r="E158" s="264">
        <v>-9.0</v>
      </c>
      <c r="F158" s="290">
        <v>119.82</v>
      </c>
      <c r="G158" s="170">
        <v>1078.38</v>
      </c>
      <c r="H158" s="167" t="s">
        <v>626</v>
      </c>
      <c r="I158" s="171">
        <f t="shared" ref="I158:J158" si="160">IFS(AND($B158&lt;&gt;"",$E158&lt;&gt;""),IF(INDEX(N:N,MATCH($C158,$P:$P,0),1)&lt;&gt;"",$E158*INDEX(N:N,MATCH($C158,$P:$P,0),1)+$G158,""),AND($B158&lt;&gt;"",$D158="COST",$G158&lt;0),$G158,TRUE,)</f>
        <v>-52.2</v>
      </c>
      <c r="J158" s="171">
        <f t="shared" si="160"/>
        <v>35.22423529</v>
      </c>
      <c r="K158" s="283" t="str">
        <f t="shared" si="3"/>
        <v>ETFS Physical Gold</v>
      </c>
      <c r="L158" s="284">
        <f t="shared" si="4"/>
        <v>353</v>
      </c>
      <c r="M158" s="285">
        <f t="shared" si="5"/>
        <v>-33586.49</v>
      </c>
      <c r="N158" s="286" t="str">
        <f>IF($P158&lt;&gt;"",IF(MAXIFS(Investment!$M:$M,Investment!$H:$H,LEFT($P158,30)&amp;"*"),MAXIFS(Investment!$M:$M,Investment!$H:$H,LEFT($P158,30)&amp;"*"),),)</f>
        <v/>
      </c>
      <c r="O158" s="287" t="str">
        <f>IF($P158&lt;&gt;"",IF(MAXIFS(Investment!$AI:$AI,Investment!$H:$H,LEFT($P158,30)&amp;"*"),MAXIFS(Investment!$AI:$AI,Investment!$H:$H,LEFT($P158,30)&amp;"*"),),)</f>
        <v/>
      </c>
      <c r="P158" s="283"/>
      <c r="Q158" s="284"/>
      <c r="R158" s="288"/>
    </row>
    <row r="159">
      <c r="A159" s="165">
        <v>43640.0</v>
      </c>
      <c r="B159" s="166" t="s">
        <v>122</v>
      </c>
      <c r="C159" s="166" t="s">
        <v>123</v>
      </c>
      <c r="D159" s="166" t="s">
        <v>280</v>
      </c>
      <c r="E159" s="264">
        <v>-9.0</v>
      </c>
      <c r="F159" s="290">
        <v>117.66</v>
      </c>
      <c r="G159" s="170">
        <v>1058.94</v>
      </c>
      <c r="H159" s="167" t="s">
        <v>627</v>
      </c>
      <c r="I159" s="171">
        <f t="shared" ref="I159:J159" si="161">IFS(AND($B159&lt;&gt;"",$E159&lt;&gt;""),IF(INDEX(N:N,MATCH($C159,$P:$P,0),1)&lt;&gt;"",$E159*INDEX(N:N,MATCH($C159,$P:$P,0),1)+$G159,""),AND($B159&lt;&gt;"",$D159="COST",$G159&lt;0),$G159,TRUE,)</f>
        <v>-71.64</v>
      </c>
      <c r="J159" s="171">
        <f t="shared" si="161"/>
        <v>15.78423529</v>
      </c>
      <c r="K159" s="283" t="str">
        <f t="shared" si="3"/>
        <v>ETFS Physical Gold</v>
      </c>
      <c r="L159" s="284">
        <f t="shared" si="4"/>
        <v>353</v>
      </c>
      <c r="M159" s="285">
        <f t="shared" si="5"/>
        <v>-33586.49</v>
      </c>
      <c r="N159" s="286" t="str">
        <f>IF($P159&lt;&gt;"",IF(MAXIFS(Investment!$M:$M,Investment!$H:$H,LEFT($P159,30)&amp;"*"),MAXIFS(Investment!$M:$M,Investment!$H:$H,LEFT($P159,30)&amp;"*"),),)</f>
        <v/>
      </c>
      <c r="O159" s="287" t="str">
        <f>IF($P159&lt;&gt;"",IF(MAXIFS(Investment!$AI:$AI,Investment!$H:$H,LEFT($P159,30)&amp;"*"),MAXIFS(Investment!$AI:$AI,Investment!$H:$H,LEFT($P159,30)&amp;"*"),),)</f>
        <v/>
      </c>
      <c r="P159" s="283"/>
      <c r="Q159" s="284"/>
      <c r="R159" s="288"/>
    </row>
    <row r="160">
      <c r="A160" s="165">
        <v>43640.0</v>
      </c>
      <c r="B160" s="166" t="s">
        <v>122</v>
      </c>
      <c r="C160" s="166" t="s">
        <v>123</v>
      </c>
      <c r="D160" s="166" t="s">
        <v>280</v>
      </c>
      <c r="E160" s="264">
        <v>-16.0</v>
      </c>
      <c r="F160" s="290">
        <v>117.66</v>
      </c>
      <c r="G160" s="170">
        <v>1882.56</v>
      </c>
      <c r="H160" s="167" t="s">
        <v>628</v>
      </c>
      <c r="I160" s="171">
        <f t="shared" ref="I160:J160" si="162">IFS(AND($B160&lt;&gt;"",$E160&lt;&gt;""),IF(INDEX(N:N,MATCH($C160,$P:$P,0),1)&lt;&gt;"",$E160*INDEX(N:N,MATCH($C160,$P:$P,0),1)+$G160,""),AND($B160&lt;&gt;"",$D160="COST",$G160&lt;0),$G160,TRUE,)</f>
        <v>-127.36</v>
      </c>
      <c r="J160" s="171">
        <f t="shared" si="162"/>
        <v>28.06086275</v>
      </c>
      <c r="K160" s="283" t="str">
        <f t="shared" si="3"/>
        <v>ETFS Physical Gold</v>
      </c>
      <c r="L160" s="284">
        <f t="shared" si="4"/>
        <v>353</v>
      </c>
      <c r="M160" s="285">
        <f t="shared" si="5"/>
        <v>-33586.49</v>
      </c>
      <c r="N160" s="286" t="str">
        <f>IF($P160&lt;&gt;"",IF(MAXIFS(Investment!$M:$M,Investment!$H:$H,LEFT($P160,30)&amp;"*"),MAXIFS(Investment!$M:$M,Investment!$H:$H,LEFT($P160,30)&amp;"*"),),)</f>
        <v/>
      </c>
      <c r="O160" s="287" t="str">
        <f>IF($P160&lt;&gt;"",IF(MAXIFS(Investment!$AI:$AI,Investment!$H:$H,LEFT($P160,30)&amp;"*"),MAXIFS(Investment!$AI:$AI,Investment!$H:$H,LEFT($P160,30)&amp;"*"),),)</f>
        <v/>
      </c>
      <c r="P160" s="283"/>
      <c r="Q160" s="284"/>
      <c r="R160" s="288"/>
    </row>
    <row r="161">
      <c r="A161" s="165">
        <v>43640.0</v>
      </c>
      <c r="B161" s="166" t="s">
        <v>118</v>
      </c>
      <c r="C161" s="166" t="s">
        <v>120</v>
      </c>
      <c r="D161" s="166" t="s">
        <v>332</v>
      </c>
      <c r="E161" s="264">
        <v>1013.0</v>
      </c>
      <c r="F161" s="290">
        <v>7.103</v>
      </c>
      <c r="G161" s="170">
        <v>-7195.34</v>
      </c>
      <c r="H161" s="167" t="s">
        <v>629</v>
      </c>
      <c r="I161" s="171">
        <f t="shared" ref="I161:J161" si="163">IFS(AND($B161&lt;&gt;"",$E161&lt;&gt;""),IF(INDEX(N:N,MATCH($C161,$P:$P,0),1)&lt;&gt;"",$E161*INDEX(N:N,MATCH($C161,$P:$P,0),1)+$G161,""),AND($B161&lt;&gt;"",$D161="COST",$G161&lt;0),$G161,TRUE,)</f>
        <v>280.6</v>
      </c>
      <c r="J161" s="171">
        <f t="shared" si="163"/>
        <v>145.8749725</v>
      </c>
      <c r="K161" s="283" t="str">
        <f t="shared" si="3"/>
        <v>ETFS All Commodities ETC</v>
      </c>
      <c r="L161" s="284">
        <f t="shared" si="4"/>
        <v>11745</v>
      </c>
      <c r="M161" s="285">
        <f t="shared" si="5"/>
        <v>-84366.02</v>
      </c>
      <c r="N161" s="286" t="str">
        <f>IF($P161&lt;&gt;"",IF(MAXIFS(Investment!$M:$M,Investment!$H:$H,LEFT($P161,30)&amp;"*"),MAXIFS(Investment!$M:$M,Investment!$H:$H,LEFT($P161,30)&amp;"*"),),)</f>
        <v/>
      </c>
      <c r="O161" s="287" t="str">
        <f>IF($P161&lt;&gt;"",IF(MAXIFS(Investment!$AI:$AI,Investment!$H:$H,LEFT($P161,30)&amp;"*"),MAXIFS(Investment!$AI:$AI,Investment!$H:$H,LEFT($P161,30)&amp;"*"),),)</f>
        <v/>
      </c>
      <c r="P161" s="283"/>
      <c r="Q161" s="284"/>
      <c r="R161" s="288"/>
    </row>
    <row r="162">
      <c r="A162" s="165">
        <v>43627.0</v>
      </c>
      <c r="B162" s="166" t="s">
        <v>118</v>
      </c>
      <c r="C162" s="166" t="s">
        <v>120</v>
      </c>
      <c r="D162" s="166" t="s">
        <v>332</v>
      </c>
      <c r="E162" s="264">
        <v>518.0</v>
      </c>
      <c r="F162" s="290">
        <v>6.962</v>
      </c>
      <c r="G162" s="170">
        <v>-3606.32</v>
      </c>
      <c r="H162" s="167" t="s">
        <v>630</v>
      </c>
      <c r="I162" s="171">
        <f t="shared" ref="I162:J162" si="164">IFS(AND($B162&lt;&gt;"",$E162&lt;&gt;""),IF(INDEX(N:N,MATCH($C162,$P:$P,0),1)&lt;&gt;"",$E162*INDEX(N:N,MATCH($C162,$P:$P,0),1)+$G162,""),AND($B162&lt;&gt;"",$D162="COST",$G162&lt;0),$G162,TRUE,)</f>
        <v>216.52</v>
      </c>
      <c r="J162" s="171">
        <f t="shared" si="164"/>
        <v>147.6280314</v>
      </c>
      <c r="K162" s="283" t="str">
        <f t="shared" si="3"/>
        <v>ETFS All Commodities ETC</v>
      </c>
      <c r="L162" s="284">
        <f t="shared" si="4"/>
        <v>11745</v>
      </c>
      <c r="M162" s="285">
        <f t="shared" si="5"/>
        <v>-84366.02</v>
      </c>
      <c r="N162" s="286" t="str">
        <f>IF($P162&lt;&gt;"",IF(MAXIFS(Investment!$M:$M,Investment!$H:$H,LEFT($P162,30)&amp;"*"),MAXIFS(Investment!$M:$M,Investment!$H:$H,LEFT($P162,30)&amp;"*"),),)</f>
        <v/>
      </c>
      <c r="O162" s="287" t="str">
        <f>IF($P162&lt;&gt;"",IF(MAXIFS(Investment!$AI:$AI,Investment!$H:$H,LEFT($P162,30)&amp;"*"),MAXIFS(Investment!$AI:$AI,Investment!$H:$H,LEFT($P162,30)&amp;"*"),),)</f>
        <v/>
      </c>
      <c r="P162" s="283"/>
      <c r="Q162" s="284"/>
      <c r="R162" s="288"/>
    </row>
    <row r="163">
      <c r="A163" s="165">
        <v>43627.0</v>
      </c>
      <c r="B163" s="166" t="s">
        <v>118</v>
      </c>
      <c r="C163" s="166" t="s">
        <v>120</v>
      </c>
      <c r="D163" s="166" t="s">
        <v>332</v>
      </c>
      <c r="E163" s="264">
        <v>1762.0</v>
      </c>
      <c r="F163" s="290">
        <v>6.9619</v>
      </c>
      <c r="G163" s="170">
        <v>-12267.04</v>
      </c>
      <c r="H163" s="167" t="s">
        <v>631</v>
      </c>
      <c r="I163" s="171">
        <f t="shared" ref="I163:J163" si="165">IFS(AND($B163&lt;&gt;"",$E163&lt;&gt;""),IF(INDEX(N:N,MATCH($C163,$P:$P,0),1)&lt;&gt;"",$E163*INDEX(N:N,MATCH($C163,$P:$P,0),1)+$G163,""),AND($B163&lt;&gt;"",$D163="COST",$G163&lt;0),$G163,TRUE,)</f>
        <v>736.52</v>
      </c>
      <c r="J163" s="171">
        <f t="shared" si="165"/>
        <v>502.1809098</v>
      </c>
      <c r="K163" s="283" t="str">
        <f t="shared" si="3"/>
        <v>ETFS All Commodities ETC</v>
      </c>
      <c r="L163" s="284">
        <f t="shared" si="4"/>
        <v>11745</v>
      </c>
      <c r="M163" s="285">
        <f t="shared" si="5"/>
        <v>-84366.02</v>
      </c>
      <c r="N163" s="286" t="str">
        <f>IF($P163&lt;&gt;"",IF(MAXIFS(Investment!$M:$M,Investment!$H:$H,LEFT($P163,30)&amp;"*"),MAXIFS(Investment!$M:$M,Investment!$H:$H,LEFT($P163,30)&amp;"*"),),)</f>
        <v/>
      </c>
      <c r="O163" s="287" t="str">
        <f>IF($P163&lt;&gt;"",IF(MAXIFS(Investment!$AI:$AI,Investment!$H:$H,LEFT($P163,30)&amp;"*"),MAXIFS(Investment!$AI:$AI,Investment!$H:$H,LEFT($P163,30)&amp;"*"),),)</f>
        <v/>
      </c>
      <c r="P163" s="283"/>
      <c r="Q163" s="284"/>
      <c r="R163" s="288"/>
    </row>
    <row r="164">
      <c r="A164" s="165">
        <v>43627.0</v>
      </c>
      <c r="B164" s="166" t="s">
        <v>138</v>
      </c>
      <c r="C164" s="166" t="s">
        <v>139</v>
      </c>
      <c r="D164" s="166" t="s">
        <v>280</v>
      </c>
      <c r="E164" s="264">
        <v>-26.0</v>
      </c>
      <c r="F164" s="290">
        <v>48.6538</v>
      </c>
      <c r="G164" s="170">
        <v>1265.0</v>
      </c>
      <c r="H164" s="167" t="s">
        <v>632</v>
      </c>
      <c r="I164" s="171">
        <f t="shared" ref="I164:J164" si="166">IFS(AND($B164&lt;&gt;"",$E164&lt;&gt;""),IF(INDEX(N:N,MATCH($C164,$P:$P,0),1)&lt;&gt;"",$E164*INDEX(N:N,MATCH($C164,$P:$P,0),1)+$G164,""),AND($B164&lt;&gt;"",$D164="COST",$G164&lt;0),$G164,TRUE,)</f>
        <v>-120.41</v>
      </c>
      <c r="J164" s="171">
        <f t="shared" si="166"/>
        <v>13.41760784</v>
      </c>
      <c r="K164" s="283" t="str">
        <f t="shared" si="3"/>
        <v>Vanguard S&amp;P 500 UCITS</v>
      </c>
      <c r="L164" s="284">
        <f t="shared" si="4"/>
        <v>3715</v>
      </c>
      <c r="M164" s="285">
        <f t="shared" si="5"/>
        <v>-151722.66</v>
      </c>
      <c r="N164" s="286" t="str">
        <f>IF($P164&lt;&gt;"",IF(MAXIFS(Investment!$M:$M,Investment!$H:$H,LEFT($P164,30)&amp;"*"),MAXIFS(Investment!$M:$M,Investment!$H:$H,LEFT($P164,30)&amp;"*"),),)</f>
        <v/>
      </c>
      <c r="O164" s="287" t="str">
        <f>IF($P164&lt;&gt;"",IF(MAXIFS(Investment!$AI:$AI,Investment!$H:$H,LEFT($P164,30)&amp;"*"),MAXIFS(Investment!$AI:$AI,Investment!$H:$H,LEFT($P164,30)&amp;"*"),),)</f>
        <v/>
      </c>
      <c r="P164" s="283"/>
      <c r="Q164" s="284"/>
      <c r="R164" s="288"/>
    </row>
    <row r="165">
      <c r="A165" s="165">
        <v>43626.0</v>
      </c>
      <c r="B165" s="166" t="s">
        <v>138</v>
      </c>
      <c r="C165" s="166" t="s">
        <v>139</v>
      </c>
      <c r="D165" s="166" t="s">
        <v>280</v>
      </c>
      <c r="E165" s="264">
        <v>-29.0</v>
      </c>
      <c r="F165" s="290">
        <v>48.562</v>
      </c>
      <c r="G165" s="170">
        <v>1408.3</v>
      </c>
      <c r="H165" s="167" t="s">
        <v>633</v>
      </c>
      <c r="I165" s="171">
        <f t="shared" ref="I165:J165" si="167">IFS(AND($B165&lt;&gt;"",$E165&lt;&gt;""),IF(INDEX(N:N,MATCH($C165,$P:$P,0),1)&lt;&gt;"",$E165*INDEX(N:N,MATCH($C165,$P:$P,0),1)+$G165,""),AND($B165&lt;&gt;"",$D165="COST",$G165&lt;0),$G165,TRUE,)</f>
        <v>-136.965</v>
      </c>
      <c r="J165" s="171">
        <f t="shared" si="167"/>
        <v>12.3042549</v>
      </c>
      <c r="K165" s="283" t="str">
        <f t="shared" si="3"/>
        <v>Vanguard S&amp;P 500 UCITS</v>
      </c>
      <c r="L165" s="284">
        <f t="shared" si="4"/>
        <v>3715</v>
      </c>
      <c r="M165" s="285">
        <f t="shared" si="5"/>
        <v>-151722.66</v>
      </c>
      <c r="N165" s="286" t="str">
        <f>IF($P165&lt;&gt;"",IF(MAXIFS(Investment!$M:$M,Investment!$H:$H,LEFT($P165,30)&amp;"*"),MAXIFS(Investment!$M:$M,Investment!$H:$H,LEFT($P165,30)&amp;"*"),),)</f>
        <v/>
      </c>
      <c r="O165" s="287" t="str">
        <f>IF($P165&lt;&gt;"",IF(MAXIFS(Investment!$AI:$AI,Investment!$H:$H,LEFT($P165,30)&amp;"*"),MAXIFS(Investment!$AI:$AI,Investment!$H:$H,LEFT($P165,30)&amp;"*"),),)</f>
        <v/>
      </c>
      <c r="P165" s="283"/>
      <c r="Q165" s="284"/>
      <c r="R165" s="288"/>
    </row>
    <row r="166">
      <c r="A166" s="165">
        <v>43623.0</v>
      </c>
      <c r="B166" s="166" t="s">
        <v>138</v>
      </c>
      <c r="C166" s="166" t="s">
        <v>139</v>
      </c>
      <c r="D166" s="166" t="s">
        <v>280</v>
      </c>
      <c r="E166" s="264">
        <v>-23.0</v>
      </c>
      <c r="F166" s="290">
        <v>48.3591</v>
      </c>
      <c r="G166" s="170">
        <v>1112.26</v>
      </c>
      <c r="H166" s="167" t="s">
        <v>634</v>
      </c>
      <c r="I166" s="171">
        <f t="shared" ref="I166:J166" si="168">IFS(AND($B166&lt;&gt;"",$E166&lt;&gt;""),IF(INDEX(N:N,MATCH($C166,$P:$P,0),1)&lt;&gt;"",$E166*INDEX(N:N,MATCH($C166,$P:$P,0),1)+$G166,""),AND($B166&lt;&gt;"",$D166="COST",$G166&lt;0),$G166,TRUE,)</f>
        <v>-113.295</v>
      </c>
      <c r="J166" s="171">
        <f t="shared" si="168"/>
        <v>5.090960784</v>
      </c>
      <c r="K166" s="283" t="str">
        <f t="shared" si="3"/>
        <v>Vanguard S&amp;P 500 UCITS</v>
      </c>
      <c r="L166" s="284">
        <f t="shared" si="4"/>
        <v>3715</v>
      </c>
      <c r="M166" s="285">
        <f t="shared" si="5"/>
        <v>-151722.66</v>
      </c>
      <c r="N166" s="286" t="str">
        <f>IF($P166&lt;&gt;"",IF(MAXIFS(Investment!$M:$M,Investment!$H:$H,LEFT($P166,30)&amp;"*"),MAXIFS(Investment!$M:$M,Investment!$H:$H,LEFT($P166,30)&amp;"*"),),)</f>
        <v/>
      </c>
      <c r="O166" s="287" t="str">
        <f>IF($P166&lt;&gt;"",IF(MAXIFS(Investment!$AI:$AI,Investment!$H:$H,LEFT($P166,30)&amp;"*"),MAXIFS(Investment!$AI:$AI,Investment!$H:$H,LEFT($P166,30)&amp;"*"),),)</f>
        <v/>
      </c>
      <c r="P166" s="283"/>
      <c r="Q166" s="284"/>
      <c r="R166" s="288"/>
    </row>
    <row r="167">
      <c r="A167" s="165">
        <v>43622.0</v>
      </c>
      <c r="B167" s="166" t="s">
        <v>138</v>
      </c>
      <c r="C167" s="166" t="s">
        <v>139</v>
      </c>
      <c r="D167" s="166" t="s">
        <v>280</v>
      </c>
      <c r="E167" s="264">
        <v>-58.0</v>
      </c>
      <c r="F167" s="290">
        <v>48.0199</v>
      </c>
      <c r="G167" s="170">
        <v>2785.16</v>
      </c>
      <c r="H167" s="167" t="s">
        <v>635</v>
      </c>
      <c r="I167" s="171">
        <f t="shared" ref="I167:J167" si="169">IFS(AND($B167&lt;&gt;"",$E167&lt;&gt;""),IF(INDEX(N:N,MATCH($C167,$P:$P,0),1)&lt;&gt;"",$E167*INDEX(N:N,MATCH($C167,$P:$P,0),1)+$G167,""),AND($B167&lt;&gt;"",$D167="COST",$G167&lt;0),$G167,TRUE,)</f>
        <v>-305.37</v>
      </c>
      <c r="J167" s="171">
        <f t="shared" si="169"/>
        <v>-6.831490196</v>
      </c>
      <c r="K167" s="283" t="str">
        <f t="shared" si="3"/>
        <v>Vanguard S&amp;P 500 UCITS</v>
      </c>
      <c r="L167" s="284">
        <f t="shared" si="4"/>
        <v>3715</v>
      </c>
      <c r="M167" s="285">
        <f t="shared" si="5"/>
        <v>-151722.66</v>
      </c>
      <c r="N167" s="286" t="str">
        <f>IF($P167&lt;&gt;"",IF(MAXIFS(Investment!$M:$M,Investment!$H:$H,LEFT($P167,30)&amp;"*"),MAXIFS(Investment!$M:$M,Investment!$H:$H,LEFT($P167,30)&amp;"*"),),)</f>
        <v/>
      </c>
      <c r="O167" s="287" t="str">
        <f>IF($P167&lt;&gt;"",IF(MAXIFS(Investment!$AI:$AI,Investment!$H:$H,LEFT($P167,30)&amp;"*"),MAXIFS(Investment!$AI:$AI,Investment!$H:$H,LEFT($P167,30)&amp;"*"),),)</f>
        <v/>
      </c>
      <c r="P167" s="283"/>
      <c r="Q167" s="284"/>
      <c r="R167" s="288"/>
    </row>
    <row r="168">
      <c r="A168" s="165">
        <v>43620.0</v>
      </c>
      <c r="B168" s="166"/>
      <c r="C168" s="166"/>
      <c r="D168" s="166" t="s">
        <v>299</v>
      </c>
      <c r="E168" s="264"/>
      <c r="F168" s="290"/>
      <c r="G168" s="170">
        <v>-100.0</v>
      </c>
      <c r="H168" s="167" t="s">
        <v>326</v>
      </c>
      <c r="I168" s="171" t="str">
        <f t="shared" ref="I168:J168" si="170">IFS(AND($B168&lt;&gt;"",$E168&lt;&gt;""),IF(INDEX(N:N,MATCH($C168,$P:$P,0),1)&lt;&gt;"",$E168*INDEX(N:N,MATCH($C168,$P:$P,0),1)+$G168,""),AND($B168&lt;&gt;"",$D168="COST",$G168&lt;0),$G168,TRUE,)</f>
        <v/>
      </c>
      <c r="J168" s="171" t="str">
        <f t="shared" si="170"/>
        <v/>
      </c>
      <c r="K168" s="283" t="str">
        <f t="shared" si="3"/>
        <v/>
      </c>
      <c r="L168" s="284" t="str">
        <f t="shared" si="4"/>
        <v/>
      </c>
      <c r="M168" s="285" t="str">
        <f t="shared" si="5"/>
        <v/>
      </c>
      <c r="N168" s="286" t="str">
        <f>IF($P168&lt;&gt;"",IF(MAXIFS(Investment!$M:$M,Investment!$H:$H,LEFT($P168,30)&amp;"*"),MAXIFS(Investment!$M:$M,Investment!$H:$H,LEFT($P168,30)&amp;"*"),),)</f>
        <v/>
      </c>
      <c r="O168" s="287" t="str">
        <f>IF($P168&lt;&gt;"",IF(MAXIFS(Investment!$AI:$AI,Investment!$H:$H,LEFT($P168,30)&amp;"*"),MAXIFS(Investment!$AI:$AI,Investment!$H:$H,LEFT($P168,30)&amp;"*"),),)</f>
        <v/>
      </c>
      <c r="P168" s="283"/>
      <c r="Q168" s="284"/>
      <c r="R168" s="288"/>
    </row>
    <row r="169">
      <c r="A169" s="165">
        <v>43620.0</v>
      </c>
      <c r="B169" s="166" t="s">
        <v>122</v>
      </c>
      <c r="C169" s="166" t="s">
        <v>123</v>
      </c>
      <c r="D169" s="166" t="s">
        <v>280</v>
      </c>
      <c r="E169" s="264">
        <v>-9.0</v>
      </c>
      <c r="F169" s="290">
        <v>112.4</v>
      </c>
      <c r="G169" s="170">
        <v>1011.6</v>
      </c>
      <c r="H169" s="167" t="s">
        <v>636</v>
      </c>
      <c r="I169" s="171">
        <f t="shared" ref="I169:J169" si="171">IFS(AND($B169&lt;&gt;"",$E169&lt;&gt;""),IF(INDEX(N:N,MATCH($C169,$P:$P,0),1)&lt;&gt;"",$E169*INDEX(N:N,MATCH($C169,$P:$P,0),1)+$G169,""),AND($B169&lt;&gt;"",$D169="COST",$G169&lt;0),$G169,TRUE,)</f>
        <v>-118.98</v>
      </c>
      <c r="J169" s="171">
        <f t="shared" si="171"/>
        <v>-31.55576471</v>
      </c>
      <c r="K169" s="283" t="str">
        <f t="shared" si="3"/>
        <v>ETFS Physical Gold</v>
      </c>
      <c r="L169" s="284">
        <f t="shared" si="4"/>
        <v>353</v>
      </c>
      <c r="M169" s="285">
        <f t="shared" si="5"/>
        <v>-33586.49</v>
      </c>
      <c r="N169" s="286" t="str">
        <f>IF($P169&lt;&gt;"",IF(MAXIFS(Investment!$M:$M,Investment!$H:$H,LEFT($P169,30)&amp;"*"),MAXIFS(Investment!$M:$M,Investment!$H:$H,LEFT($P169,30)&amp;"*"),),)</f>
        <v/>
      </c>
      <c r="O169" s="287" t="str">
        <f>IF($P169&lt;&gt;"",IF(MAXIFS(Investment!$AI:$AI,Investment!$H:$H,LEFT($P169,30)&amp;"*"),MAXIFS(Investment!$AI:$AI,Investment!$H:$H,LEFT($P169,30)&amp;"*"),),)</f>
        <v/>
      </c>
      <c r="P169" s="283"/>
      <c r="Q169" s="284"/>
      <c r="R169" s="288"/>
    </row>
    <row r="170">
      <c r="A170" s="165">
        <v>43619.0</v>
      </c>
      <c r="B170" s="166" t="s">
        <v>127</v>
      </c>
      <c r="C170" s="166" t="s">
        <v>128</v>
      </c>
      <c r="D170" s="166" t="s">
        <v>307</v>
      </c>
      <c r="E170" s="264"/>
      <c r="F170" s="290"/>
      <c r="G170" s="170">
        <v>-173.19</v>
      </c>
      <c r="H170" s="167" t="s">
        <v>637</v>
      </c>
      <c r="I170" s="171" t="str">
        <f t="shared" ref="I170:J170" si="172">IFS(AND($B170&lt;&gt;"",$E170&lt;&gt;""),IF(INDEX(N:N,MATCH($C170,$P:$P,0),1)&lt;&gt;"",$E170*INDEX(N:N,MATCH($C170,$P:$P,0),1)+$G170,""),AND($B170&lt;&gt;"",$D170="COST",$G170&lt;0),$G170,TRUE,)</f>
        <v/>
      </c>
      <c r="J170" s="171" t="str">
        <f t="shared" si="172"/>
        <v/>
      </c>
      <c r="K170" s="283" t="str">
        <f t="shared" si="3"/>
        <v>iShares Treasury Bond 7-10 UCITS</v>
      </c>
      <c r="L170" s="284">
        <f t="shared" si="4"/>
        <v>547</v>
      </c>
      <c r="M170" s="285">
        <f t="shared" si="5"/>
        <v>-81771.76</v>
      </c>
      <c r="N170" s="286" t="str">
        <f>IF($P170&lt;&gt;"",IF(MAXIFS(Investment!$M:$M,Investment!$H:$H,LEFT($P170,30)&amp;"*"),MAXIFS(Investment!$M:$M,Investment!$H:$H,LEFT($P170,30)&amp;"*"),),)</f>
        <v/>
      </c>
      <c r="O170" s="287" t="str">
        <f>IF($P170&lt;&gt;"",IF(MAXIFS(Investment!$AI:$AI,Investment!$H:$H,LEFT($P170,30)&amp;"*"),MAXIFS(Investment!$AI:$AI,Investment!$H:$H,LEFT($P170,30)&amp;"*"),),)</f>
        <v/>
      </c>
      <c r="P170" s="283"/>
      <c r="Q170" s="284"/>
      <c r="R170" s="288"/>
    </row>
    <row r="171">
      <c r="A171" s="165">
        <v>43619.0</v>
      </c>
      <c r="B171" s="166" t="s">
        <v>134</v>
      </c>
      <c r="C171" s="166" t="s">
        <v>135</v>
      </c>
      <c r="D171" s="166" t="s">
        <v>280</v>
      </c>
      <c r="E171" s="264">
        <v>-512.0</v>
      </c>
      <c r="F171" s="290">
        <v>4.4825</v>
      </c>
      <c r="G171" s="170">
        <v>2295.04</v>
      </c>
      <c r="H171" s="167" t="s">
        <v>638</v>
      </c>
      <c r="I171" s="171">
        <f t="shared" ref="I171:J171" si="173">IFS(AND($B171&lt;&gt;"",$E171&lt;&gt;""),IF(INDEX(N:N,MATCH($C171,$P:$P,0),1)&lt;&gt;"",$E171*INDEX(N:N,MATCH($C171,$P:$P,0),1)+$G171,""),AND($B171&lt;&gt;"",$D171="COST",$G171&lt;0),$G171,TRUE,)</f>
        <v>-68.352</v>
      </c>
      <c r="J171" s="171">
        <f t="shared" si="173"/>
        <v>84.51061961</v>
      </c>
      <c r="K171" s="283" t="str">
        <f t="shared" si="3"/>
        <v>iShares Treasury Bond 20+ UCITS</v>
      </c>
      <c r="L171" s="284">
        <f t="shared" si="4"/>
        <v>53253</v>
      </c>
      <c r="M171" s="285">
        <f t="shared" si="5"/>
        <v>-206464.56</v>
      </c>
      <c r="N171" s="286" t="str">
        <f>IF($P171&lt;&gt;"",IF(MAXIFS(Investment!$M:$M,Investment!$H:$H,LEFT($P171,30)&amp;"*"),MAXIFS(Investment!$M:$M,Investment!$H:$H,LEFT($P171,30)&amp;"*"),),)</f>
        <v/>
      </c>
      <c r="O171" s="287" t="str">
        <f>IF($P171&lt;&gt;"",IF(MAXIFS(Investment!$AI:$AI,Investment!$H:$H,LEFT($P171,30)&amp;"*"),MAXIFS(Investment!$AI:$AI,Investment!$H:$H,LEFT($P171,30)&amp;"*"),),)</f>
        <v/>
      </c>
      <c r="P171" s="283"/>
      <c r="Q171" s="284"/>
      <c r="R171" s="288"/>
    </row>
    <row r="172">
      <c r="A172" s="165">
        <v>43619.0</v>
      </c>
      <c r="B172" s="166" t="s">
        <v>134</v>
      </c>
      <c r="C172" s="166" t="s">
        <v>135</v>
      </c>
      <c r="D172" s="166" t="s">
        <v>301</v>
      </c>
      <c r="E172" s="264"/>
      <c r="F172" s="290"/>
      <c r="G172" s="170">
        <v>-2.46</v>
      </c>
      <c r="H172" s="167" t="s">
        <v>639</v>
      </c>
      <c r="I172" s="171">
        <f t="shared" ref="I172:J172" si="174">IFS(AND($B172&lt;&gt;"",$E172&lt;&gt;""),IF(INDEX(N:N,MATCH($C172,$P:$P,0),1)&lt;&gt;"",$E172*INDEX(N:N,MATCH($C172,$P:$P,0),1)+$G172,""),AND($B172&lt;&gt;"",$D172="COST",$G172&lt;0),$G172,TRUE,)</f>
        <v>-2.46</v>
      </c>
      <c r="J172" s="171">
        <f t="shared" si="174"/>
        <v>-2.46</v>
      </c>
      <c r="K172" s="283" t="str">
        <f t="shared" si="3"/>
        <v>iShares Treasury Bond 20+ UCITS</v>
      </c>
      <c r="L172" s="284">
        <f t="shared" si="4"/>
        <v>53253</v>
      </c>
      <c r="M172" s="285">
        <f t="shared" si="5"/>
        <v>-206464.56</v>
      </c>
      <c r="N172" s="286" t="str">
        <f>IF($P172&lt;&gt;"",IF(MAXIFS(Investment!$M:$M,Investment!$H:$H,LEFT($P172,30)&amp;"*"),MAXIFS(Investment!$M:$M,Investment!$H:$H,LEFT($P172,30)&amp;"*"),),)</f>
        <v/>
      </c>
      <c r="O172" s="287" t="str">
        <f>IF($P172&lt;&gt;"",IF(MAXIFS(Investment!$AI:$AI,Investment!$H:$H,LEFT($P172,30)&amp;"*"),MAXIFS(Investment!$AI:$AI,Investment!$H:$H,LEFT($P172,30)&amp;"*"),),)</f>
        <v/>
      </c>
      <c r="P172" s="283"/>
      <c r="Q172" s="284"/>
      <c r="R172" s="288"/>
    </row>
    <row r="173">
      <c r="A173" s="165">
        <v>43619.0</v>
      </c>
      <c r="B173" s="166" t="s">
        <v>127</v>
      </c>
      <c r="C173" s="166" t="s">
        <v>128</v>
      </c>
      <c r="D173" s="166" t="s">
        <v>280</v>
      </c>
      <c r="E173" s="264">
        <v>-7.0</v>
      </c>
      <c r="F173" s="290">
        <v>179.42</v>
      </c>
      <c r="G173" s="170">
        <v>1255.94</v>
      </c>
      <c r="H173" s="167" t="s">
        <v>640</v>
      </c>
      <c r="I173" s="171">
        <f t="shared" ref="I173:J173" si="175">IFS(AND($B173&lt;&gt;"",$E173&lt;&gt;""),IF(INDEX(N:N,MATCH($C173,$P:$P,0),1)&lt;&gt;"",$E173*INDEX(N:N,MATCH($C173,$P:$P,0),1)+$G173,""),AND($B173&lt;&gt;"",$D173="COST",$G173&lt;0),$G173,TRUE,)</f>
        <v>-40.95</v>
      </c>
      <c r="J173" s="171">
        <f t="shared" si="175"/>
        <v>18.39517647</v>
      </c>
      <c r="K173" s="283" t="str">
        <f t="shared" si="3"/>
        <v>iShares Treasury Bond 7-10 UCITS</v>
      </c>
      <c r="L173" s="284">
        <f t="shared" si="4"/>
        <v>547</v>
      </c>
      <c r="M173" s="285">
        <f t="shared" si="5"/>
        <v>-81771.76</v>
      </c>
      <c r="N173" s="286" t="str">
        <f>IF($P173&lt;&gt;"",IF(MAXIFS(Investment!$M:$M,Investment!$H:$H,LEFT($P173,30)&amp;"*"),MAXIFS(Investment!$M:$M,Investment!$H:$H,LEFT($P173,30)&amp;"*"),),)</f>
        <v/>
      </c>
      <c r="O173" s="287" t="str">
        <f>IF($P173&lt;&gt;"",IF(MAXIFS(Investment!$AI:$AI,Investment!$H:$H,LEFT($P173,30)&amp;"*"),MAXIFS(Investment!$AI:$AI,Investment!$H:$H,LEFT($P173,30)&amp;"*"),),)</f>
        <v/>
      </c>
      <c r="P173" s="283"/>
      <c r="Q173" s="284"/>
      <c r="R173" s="288"/>
    </row>
    <row r="174">
      <c r="A174" s="165">
        <v>43619.0</v>
      </c>
      <c r="B174" s="166" t="s">
        <v>122</v>
      </c>
      <c r="C174" s="166" t="s">
        <v>123</v>
      </c>
      <c r="D174" s="166" t="s">
        <v>280</v>
      </c>
      <c r="E174" s="264">
        <v>-10.0</v>
      </c>
      <c r="F174" s="290">
        <v>112.29</v>
      </c>
      <c r="G174" s="170">
        <v>1122.9</v>
      </c>
      <c r="H174" s="167" t="s">
        <v>641</v>
      </c>
      <c r="I174" s="171">
        <f t="shared" ref="I174:J174" si="176">IFS(AND($B174&lt;&gt;"",$E174&lt;&gt;""),IF(INDEX(N:N,MATCH($C174,$P:$P,0),1)&lt;&gt;"",$E174*INDEX(N:N,MATCH($C174,$P:$P,0),1)+$G174,""),AND($B174&lt;&gt;"",$D174="COST",$G174&lt;0),$G174,TRUE,)</f>
        <v>-133.3</v>
      </c>
      <c r="J174" s="171">
        <f t="shared" si="176"/>
        <v>-36.16196078</v>
      </c>
      <c r="K174" s="283" t="str">
        <f t="shared" si="3"/>
        <v>ETFS Physical Gold</v>
      </c>
      <c r="L174" s="284">
        <f t="shared" si="4"/>
        <v>353</v>
      </c>
      <c r="M174" s="285">
        <f t="shared" si="5"/>
        <v>-33586.49</v>
      </c>
      <c r="N174" s="286" t="str">
        <f>IF($P174&lt;&gt;"",IF(MAXIFS(Investment!$M:$M,Investment!$H:$H,LEFT($P174,30)&amp;"*"),MAXIFS(Investment!$M:$M,Investment!$H:$H,LEFT($P174,30)&amp;"*"),),)</f>
        <v/>
      </c>
      <c r="O174" s="287" t="str">
        <f>IF($P174&lt;&gt;"",IF(MAXIFS(Investment!$AI:$AI,Investment!$H:$H,LEFT($P174,30)&amp;"*"),MAXIFS(Investment!$AI:$AI,Investment!$H:$H,LEFT($P174,30)&amp;"*"),),)</f>
        <v/>
      </c>
      <c r="P174" s="283"/>
      <c r="Q174" s="284"/>
      <c r="R174" s="288"/>
    </row>
    <row r="175">
      <c r="A175" s="165">
        <v>43619.0</v>
      </c>
      <c r="B175" s="166" t="s">
        <v>134</v>
      </c>
      <c r="C175" s="166" t="s">
        <v>135</v>
      </c>
      <c r="D175" s="166" t="s">
        <v>280</v>
      </c>
      <c r="E175" s="264">
        <v>-871.0</v>
      </c>
      <c r="F175" s="290">
        <v>4.4625</v>
      </c>
      <c r="G175" s="170">
        <v>3886.84</v>
      </c>
      <c r="H175" s="167" t="s">
        <v>642</v>
      </c>
      <c r="I175" s="171">
        <f t="shared" ref="I175:J175" si="177">IFS(AND($B175&lt;&gt;"",$E175&lt;&gt;""),IF(INDEX(N:N,MATCH($C175,$P:$P,0),1)&lt;&gt;"",$E175*INDEX(N:N,MATCH($C175,$P:$P,0),1)+$G175,""),AND($B175&lt;&gt;"",$D175="COST",$G175&lt;0),$G175,TRUE,)</f>
        <v>-133.696</v>
      </c>
      <c r="J175" s="171">
        <f t="shared" si="177"/>
        <v>126.3495892</v>
      </c>
      <c r="K175" s="283" t="str">
        <f t="shared" si="3"/>
        <v>iShares Treasury Bond 20+ UCITS</v>
      </c>
      <c r="L175" s="284">
        <f t="shared" si="4"/>
        <v>53253</v>
      </c>
      <c r="M175" s="285">
        <f t="shared" si="5"/>
        <v>-206464.56</v>
      </c>
      <c r="N175" s="286" t="str">
        <f>IF($P175&lt;&gt;"",IF(MAXIFS(Investment!$M:$M,Investment!$H:$H,LEFT($P175,30)&amp;"*"),MAXIFS(Investment!$M:$M,Investment!$H:$H,LEFT($P175,30)&amp;"*"),),)</f>
        <v/>
      </c>
      <c r="O175" s="287" t="str">
        <f>IF($P175&lt;&gt;"",IF(MAXIFS(Investment!$AI:$AI,Investment!$H:$H,LEFT($P175,30)&amp;"*"),MAXIFS(Investment!$AI:$AI,Investment!$H:$H,LEFT($P175,30)&amp;"*"),),)</f>
        <v/>
      </c>
      <c r="P175" s="283"/>
      <c r="Q175" s="284"/>
      <c r="R175" s="288"/>
    </row>
    <row r="176">
      <c r="A176" s="165">
        <v>43619.0</v>
      </c>
      <c r="B176" s="166" t="s">
        <v>134</v>
      </c>
      <c r="C176" s="166" t="s">
        <v>135</v>
      </c>
      <c r="D176" s="166" t="s">
        <v>301</v>
      </c>
      <c r="E176" s="264"/>
      <c r="F176" s="290"/>
      <c r="G176" s="170">
        <v>-2.78</v>
      </c>
      <c r="H176" s="167" t="s">
        <v>643</v>
      </c>
      <c r="I176" s="171">
        <f t="shared" ref="I176:J176" si="178">IFS(AND($B176&lt;&gt;"",$E176&lt;&gt;""),IF(INDEX(N:N,MATCH($C176,$P:$P,0),1)&lt;&gt;"",$E176*INDEX(N:N,MATCH($C176,$P:$P,0),1)+$G176,""),AND($B176&lt;&gt;"",$D176="COST",$G176&lt;0),$G176,TRUE,)</f>
        <v>-2.78</v>
      </c>
      <c r="J176" s="171">
        <f t="shared" si="178"/>
        <v>-2.78</v>
      </c>
      <c r="K176" s="283" t="str">
        <f t="shared" si="3"/>
        <v>iShares Treasury Bond 20+ UCITS</v>
      </c>
      <c r="L176" s="284">
        <f t="shared" si="4"/>
        <v>53253</v>
      </c>
      <c r="M176" s="285">
        <f t="shared" si="5"/>
        <v>-206464.56</v>
      </c>
      <c r="N176" s="286" t="str">
        <f>IF($P176&lt;&gt;"",IF(MAXIFS(Investment!$M:$M,Investment!$H:$H,LEFT($P176,30)&amp;"*"),MAXIFS(Investment!$M:$M,Investment!$H:$H,LEFT($P176,30)&amp;"*"),),)</f>
        <v/>
      </c>
      <c r="O176" s="287" t="str">
        <f>IF($P176&lt;&gt;"",IF(MAXIFS(Investment!$AI:$AI,Investment!$H:$H,LEFT($P176,30)&amp;"*"),MAXIFS(Investment!$AI:$AI,Investment!$H:$H,LEFT($P176,30)&amp;"*"),),)</f>
        <v/>
      </c>
      <c r="P176" s="283"/>
      <c r="Q176" s="284"/>
      <c r="R176" s="288"/>
    </row>
    <row r="177">
      <c r="A177" s="165">
        <v>43616.0</v>
      </c>
      <c r="B177" s="166" t="s">
        <v>127</v>
      </c>
      <c r="C177" s="166" t="s">
        <v>128</v>
      </c>
      <c r="D177" s="166" t="s">
        <v>307</v>
      </c>
      <c r="E177" s="264"/>
      <c r="F177" s="290"/>
      <c r="G177" s="170">
        <v>20.46</v>
      </c>
      <c r="H177" s="289" t="s">
        <v>644</v>
      </c>
      <c r="I177" s="171" t="str">
        <f t="shared" ref="I177:J177" si="179">IFS(AND($B177&lt;&gt;"",$E177&lt;&gt;""),IF(INDEX(N:N,MATCH($C177,$P:$P,0),1)&lt;&gt;"",$E177*INDEX(N:N,MATCH($C177,$P:$P,0),1)+$G177,""),AND($B177&lt;&gt;"",$D177="COST",$G177&lt;0),$G177,TRUE,)</f>
        <v/>
      </c>
      <c r="J177" s="171" t="str">
        <f t="shared" si="179"/>
        <v/>
      </c>
      <c r="K177" s="283" t="str">
        <f t="shared" si="3"/>
        <v>iShares Treasury Bond 7-10 UCITS</v>
      </c>
      <c r="L177" s="284">
        <f t="shared" si="4"/>
        <v>547</v>
      </c>
      <c r="M177" s="285">
        <f t="shared" si="5"/>
        <v>-81771.76</v>
      </c>
      <c r="N177" s="286" t="str">
        <f>IF($P177&lt;&gt;"",IF(MAXIFS(Investment!$M:$M,Investment!$H:$H,LEFT($P177,30)&amp;"*"),MAXIFS(Investment!$M:$M,Investment!$H:$H,LEFT($P177,30)&amp;"*"),),)</f>
        <v/>
      </c>
      <c r="O177" s="287" t="str">
        <f>IF($P177&lt;&gt;"",IF(MAXIFS(Investment!$AI:$AI,Investment!$H:$H,LEFT($P177,30)&amp;"*"),MAXIFS(Investment!$AI:$AI,Investment!$H:$H,LEFT($P177,30)&amp;"*"),),)</f>
        <v/>
      </c>
      <c r="P177" s="283"/>
      <c r="Q177" s="284"/>
      <c r="R177" s="288"/>
    </row>
    <row r="178">
      <c r="A178" s="165">
        <v>43616.0</v>
      </c>
      <c r="B178" s="166" t="s">
        <v>127</v>
      </c>
      <c r="C178" s="166" t="s">
        <v>128</v>
      </c>
      <c r="D178" s="166" t="s">
        <v>307</v>
      </c>
      <c r="E178" s="264"/>
      <c r="F178" s="290"/>
      <c r="G178" s="170">
        <v>1556.2</v>
      </c>
      <c r="H178" s="167" t="s">
        <v>645</v>
      </c>
      <c r="I178" s="171" t="str">
        <f t="shared" ref="I178:J178" si="180">IFS(AND($B178&lt;&gt;"",$E178&lt;&gt;""),IF(INDEX(N:N,MATCH($C178,$P:$P,0),1)&lt;&gt;"",$E178*INDEX(N:N,MATCH($C178,$P:$P,0),1)+$G178,""),AND($B178&lt;&gt;"",$D178="COST",$G178&lt;0),$G178,TRUE,)</f>
        <v/>
      </c>
      <c r="J178" s="171" t="str">
        <f t="shared" si="180"/>
        <v/>
      </c>
      <c r="K178" s="283" t="str">
        <f t="shared" si="3"/>
        <v>iShares Treasury Bond 7-10 UCITS</v>
      </c>
      <c r="L178" s="284">
        <f t="shared" si="4"/>
        <v>547</v>
      </c>
      <c r="M178" s="285">
        <f t="shared" si="5"/>
        <v>-81771.76</v>
      </c>
      <c r="N178" s="286" t="str">
        <f>IF($P178&lt;&gt;"",IF(MAXIFS(Investment!$M:$M,Investment!$H:$H,LEFT($P178,30)&amp;"*"),MAXIFS(Investment!$M:$M,Investment!$H:$H,LEFT($P178,30)&amp;"*"),),)</f>
        <v/>
      </c>
      <c r="O178" s="287" t="str">
        <f>IF($P178&lt;&gt;"",IF(MAXIFS(Investment!$AI:$AI,Investment!$H:$H,LEFT($P178,30)&amp;"*"),MAXIFS(Investment!$AI:$AI,Investment!$H:$H,LEFT($P178,30)&amp;"*"),),)</f>
        <v/>
      </c>
      <c r="P178" s="283"/>
      <c r="Q178" s="284"/>
      <c r="R178" s="288"/>
    </row>
    <row r="179">
      <c r="A179" s="165">
        <v>43616.0</v>
      </c>
      <c r="B179" s="166"/>
      <c r="C179" s="166"/>
      <c r="D179" s="166" t="s">
        <v>301</v>
      </c>
      <c r="E179" s="264"/>
      <c r="F179" s="290"/>
      <c r="G179" s="170">
        <v>-569.48</v>
      </c>
      <c r="H179" s="167" t="s">
        <v>646</v>
      </c>
      <c r="I179" s="171" t="str">
        <f t="shared" ref="I179:J179" si="181">IFS(AND($B179&lt;&gt;"",$E179&lt;&gt;""),IF(INDEX(N:N,MATCH($C179,$P:$P,0),1)&lt;&gt;"",$E179*INDEX(N:N,MATCH($C179,$P:$P,0),1)+$G179,""),AND($B179&lt;&gt;"",$D179="COST",$G179&lt;0),$G179,TRUE,)</f>
        <v/>
      </c>
      <c r="J179" s="171" t="str">
        <f t="shared" si="181"/>
        <v/>
      </c>
      <c r="K179" s="283" t="str">
        <f t="shared" si="3"/>
        <v/>
      </c>
      <c r="L179" s="284" t="str">
        <f t="shared" si="4"/>
        <v/>
      </c>
      <c r="M179" s="285" t="str">
        <f t="shared" si="5"/>
        <v/>
      </c>
      <c r="N179" s="286" t="str">
        <f>IF($P179&lt;&gt;"",IF(MAXIFS(Investment!$M:$M,Investment!$H:$H,LEFT($P179,30)&amp;"*"),MAXIFS(Investment!$M:$M,Investment!$H:$H,LEFT($P179,30)&amp;"*"),),)</f>
        <v/>
      </c>
      <c r="O179" s="287" t="str">
        <f>IF($P179&lt;&gt;"",IF(MAXIFS(Investment!$AI:$AI,Investment!$H:$H,LEFT($P179,30)&amp;"*"),MAXIFS(Investment!$AI:$AI,Investment!$H:$H,LEFT($P179,30)&amp;"*"),),)</f>
        <v/>
      </c>
      <c r="P179" s="283"/>
      <c r="Q179" s="284"/>
      <c r="R179" s="288"/>
    </row>
    <row r="180">
      <c r="A180" s="165">
        <v>43616.0</v>
      </c>
      <c r="B180" s="166" t="s">
        <v>134</v>
      </c>
      <c r="C180" s="166" t="s">
        <v>135</v>
      </c>
      <c r="D180" s="166" t="s">
        <v>280</v>
      </c>
      <c r="E180" s="264">
        <v>-298.0</v>
      </c>
      <c r="F180" s="290">
        <v>4.4304</v>
      </c>
      <c r="G180" s="170">
        <v>1320.26</v>
      </c>
      <c r="H180" s="167" t="s">
        <v>647</v>
      </c>
      <c r="I180" s="171">
        <f t="shared" ref="I180:J180" si="182">IFS(AND($B180&lt;&gt;"",$E180&lt;&gt;""),IF(INDEX(N:N,MATCH($C180,$P:$P,0),1)&lt;&gt;"",$E180*INDEX(N:N,MATCH($C180,$P:$P,0),1)+$G180,""),AND($B180&lt;&gt;"",$D180="COST",$G180&lt;0),$G180,TRUE,)</f>
        <v>-55.308</v>
      </c>
      <c r="J180" s="171">
        <f t="shared" si="182"/>
        <v>33.66282157</v>
      </c>
      <c r="K180" s="283" t="str">
        <f t="shared" si="3"/>
        <v>iShares Treasury Bond 20+ UCITS</v>
      </c>
      <c r="L180" s="284">
        <f t="shared" si="4"/>
        <v>53253</v>
      </c>
      <c r="M180" s="285">
        <f t="shared" si="5"/>
        <v>-206464.56</v>
      </c>
      <c r="N180" s="286" t="str">
        <f>IF($P180&lt;&gt;"",IF(MAXIFS(Investment!$M:$M,Investment!$H:$H,LEFT($P180,30)&amp;"*"),MAXIFS(Investment!$M:$M,Investment!$H:$H,LEFT($P180,30)&amp;"*"),),)</f>
        <v/>
      </c>
      <c r="O180" s="287" t="str">
        <f>IF($P180&lt;&gt;"",IF(MAXIFS(Investment!$AI:$AI,Investment!$H:$H,LEFT($P180,30)&amp;"*"),MAXIFS(Investment!$AI:$AI,Investment!$H:$H,LEFT($P180,30)&amp;"*"),),)</f>
        <v/>
      </c>
      <c r="P180" s="283"/>
      <c r="Q180" s="284"/>
      <c r="R180" s="288"/>
    </row>
    <row r="181">
      <c r="A181" s="165">
        <v>43616.0</v>
      </c>
      <c r="B181" s="166" t="s">
        <v>134</v>
      </c>
      <c r="C181" s="166" t="s">
        <v>135</v>
      </c>
      <c r="D181" s="166" t="s">
        <v>301</v>
      </c>
      <c r="E181" s="264"/>
      <c r="F181" s="290"/>
      <c r="G181" s="170">
        <v>-2.26</v>
      </c>
      <c r="H181" s="167" t="s">
        <v>648</v>
      </c>
      <c r="I181" s="171">
        <f t="shared" ref="I181:J181" si="183">IFS(AND($B181&lt;&gt;"",$E181&lt;&gt;""),IF(INDEX(N:N,MATCH($C181,$P:$P,0),1)&lt;&gt;"",$E181*INDEX(N:N,MATCH($C181,$P:$P,0),1)+$G181,""),AND($B181&lt;&gt;"",$D181="COST",$G181&lt;0),$G181,TRUE,)</f>
        <v>-2.26</v>
      </c>
      <c r="J181" s="171">
        <f t="shared" si="183"/>
        <v>-2.26</v>
      </c>
      <c r="K181" s="283" t="str">
        <f t="shared" si="3"/>
        <v>iShares Treasury Bond 20+ UCITS</v>
      </c>
      <c r="L181" s="284">
        <f t="shared" si="4"/>
        <v>53253</v>
      </c>
      <c r="M181" s="285">
        <f t="shared" si="5"/>
        <v>-206464.56</v>
      </c>
      <c r="N181" s="286" t="str">
        <f>IF($P181&lt;&gt;"",IF(MAXIFS(Investment!$M:$M,Investment!$H:$H,LEFT($P181,30)&amp;"*"),MAXIFS(Investment!$M:$M,Investment!$H:$H,LEFT($P181,30)&amp;"*"),),)</f>
        <v/>
      </c>
      <c r="O181" s="287" t="str">
        <f>IF($P181&lt;&gt;"",IF(MAXIFS(Investment!$AI:$AI,Investment!$H:$H,LEFT($P181,30)&amp;"*"),MAXIFS(Investment!$AI:$AI,Investment!$H:$H,LEFT($P181,30)&amp;"*"),),)</f>
        <v/>
      </c>
      <c r="P181" s="283"/>
      <c r="Q181" s="284"/>
      <c r="R181" s="288"/>
    </row>
    <row r="182">
      <c r="A182" s="165">
        <v>43616.0</v>
      </c>
      <c r="B182" s="166" t="s">
        <v>127</v>
      </c>
      <c r="C182" s="166" t="s">
        <v>128</v>
      </c>
      <c r="D182" s="166" t="s">
        <v>280</v>
      </c>
      <c r="E182" s="264">
        <v>-6.0</v>
      </c>
      <c r="F182" s="290">
        <v>178.2999</v>
      </c>
      <c r="G182" s="170">
        <v>1069.8</v>
      </c>
      <c r="H182" s="167" t="s">
        <v>649</v>
      </c>
      <c r="I182" s="171">
        <f t="shared" ref="I182:J182" si="184">IFS(AND($B182&lt;&gt;"",$E182&lt;&gt;""),IF(INDEX(N:N,MATCH($C182,$P:$P,0),1)&lt;&gt;"",$E182*INDEX(N:N,MATCH($C182,$P:$P,0),1)+$G182,""),AND($B182&lt;&gt;"",$D182="COST",$G182&lt;0),$G182,TRUE,)</f>
        <v>-41.82</v>
      </c>
      <c r="J182" s="171">
        <f t="shared" si="184"/>
        <v>9.047294118</v>
      </c>
      <c r="K182" s="283" t="str">
        <f t="shared" si="3"/>
        <v>iShares Treasury Bond 7-10 UCITS</v>
      </c>
      <c r="L182" s="284">
        <f t="shared" si="4"/>
        <v>547</v>
      </c>
      <c r="M182" s="285">
        <f t="shared" si="5"/>
        <v>-81771.76</v>
      </c>
      <c r="N182" s="286" t="str">
        <f>IF($P182&lt;&gt;"",IF(MAXIFS(Investment!$M:$M,Investment!$H:$H,LEFT($P182,30)&amp;"*"),MAXIFS(Investment!$M:$M,Investment!$H:$H,LEFT($P182,30)&amp;"*"),),)</f>
        <v/>
      </c>
      <c r="O182" s="287" t="str">
        <f>IF($P182&lt;&gt;"",IF(MAXIFS(Investment!$AI:$AI,Investment!$H:$H,LEFT($P182,30)&amp;"*"),MAXIFS(Investment!$AI:$AI,Investment!$H:$H,LEFT($P182,30)&amp;"*"),),)</f>
        <v/>
      </c>
      <c r="P182" s="283"/>
      <c r="Q182" s="284"/>
      <c r="R182" s="288"/>
    </row>
    <row r="183">
      <c r="A183" s="165">
        <v>43616.0</v>
      </c>
      <c r="B183" s="166" t="s">
        <v>122</v>
      </c>
      <c r="C183" s="166" t="s">
        <v>123</v>
      </c>
      <c r="D183" s="166" t="s">
        <v>280</v>
      </c>
      <c r="E183" s="264">
        <v>-10.0</v>
      </c>
      <c r="F183" s="290">
        <v>110.96</v>
      </c>
      <c r="G183" s="170">
        <v>1109.6</v>
      </c>
      <c r="H183" s="167" t="s">
        <v>650</v>
      </c>
      <c r="I183" s="171">
        <f t="shared" ref="I183:J183" si="185">IFS(AND($B183&lt;&gt;"",$E183&lt;&gt;""),IF(INDEX(N:N,MATCH($C183,$P:$P,0),1)&lt;&gt;"",$E183*INDEX(N:N,MATCH($C183,$P:$P,0),1)+$G183,""),AND($B183&lt;&gt;"",$D183="COST",$G183&lt;0),$G183,TRUE,)</f>
        <v>-146.6</v>
      </c>
      <c r="J183" s="171">
        <f t="shared" si="185"/>
        <v>-49.46196078</v>
      </c>
      <c r="K183" s="283" t="str">
        <f t="shared" si="3"/>
        <v>ETFS Physical Gold</v>
      </c>
      <c r="L183" s="284">
        <f t="shared" si="4"/>
        <v>353</v>
      </c>
      <c r="M183" s="285">
        <f t="shared" si="5"/>
        <v>-33586.49</v>
      </c>
      <c r="N183" s="286" t="str">
        <f>IF($P183&lt;&gt;"",IF(MAXIFS(Investment!$M:$M,Investment!$H:$H,LEFT($P183,30)&amp;"*"),MAXIFS(Investment!$M:$M,Investment!$H:$H,LEFT($P183,30)&amp;"*"),),)</f>
        <v/>
      </c>
      <c r="O183" s="287" t="str">
        <f>IF($P183&lt;&gt;"",IF(MAXIFS(Investment!$AI:$AI,Investment!$H:$H,LEFT($P183,30)&amp;"*"),MAXIFS(Investment!$AI:$AI,Investment!$H:$H,LEFT($P183,30)&amp;"*"),),)</f>
        <v/>
      </c>
      <c r="P183" s="283"/>
      <c r="Q183" s="284"/>
      <c r="R183" s="288"/>
    </row>
    <row r="184">
      <c r="A184" s="165">
        <v>43616.0</v>
      </c>
      <c r="B184" s="166" t="s">
        <v>127</v>
      </c>
      <c r="C184" s="166" t="s">
        <v>128</v>
      </c>
      <c r="D184" s="166" t="s">
        <v>280</v>
      </c>
      <c r="E184" s="264">
        <v>-6.0</v>
      </c>
      <c r="F184" s="290">
        <v>178.73</v>
      </c>
      <c r="G184" s="170">
        <v>1072.38</v>
      </c>
      <c r="H184" s="167" t="s">
        <v>651</v>
      </c>
      <c r="I184" s="171">
        <f t="shared" ref="I184:J184" si="186">IFS(AND($B184&lt;&gt;"",$E184&lt;&gt;""),IF(INDEX(N:N,MATCH($C184,$P:$P,0),1)&lt;&gt;"",$E184*INDEX(N:N,MATCH($C184,$P:$P,0),1)+$G184,""),AND($B184&lt;&gt;"",$D184="COST",$G184&lt;0),$G184,TRUE,)</f>
        <v>-39.24</v>
      </c>
      <c r="J184" s="171">
        <f t="shared" si="186"/>
        <v>11.62729412</v>
      </c>
      <c r="K184" s="283" t="str">
        <f t="shared" si="3"/>
        <v>iShares Treasury Bond 7-10 UCITS</v>
      </c>
      <c r="L184" s="284">
        <f t="shared" si="4"/>
        <v>547</v>
      </c>
      <c r="M184" s="285">
        <f t="shared" si="5"/>
        <v>-81771.76</v>
      </c>
      <c r="N184" s="286" t="str">
        <f>IF($P184&lt;&gt;"",IF(MAXIFS(Investment!$M:$M,Investment!$H:$H,LEFT($P184,30)&amp;"*"),MAXIFS(Investment!$M:$M,Investment!$H:$H,LEFT($P184,30)&amp;"*"),),)</f>
        <v/>
      </c>
      <c r="O184" s="287" t="str">
        <f>IF($P184&lt;&gt;"",IF(MAXIFS(Investment!$AI:$AI,Investment!$H:$H,LEFT($P184,30)&amp;"*"),MAXIFS(Investment!$AI:$AI,Investment!$H:$H,LEFT($P184,30)&amp;"*"),),)</f>
        <v/>
      </c>
      <c r="P184" s="283"/>
      <c r="Q184" s="284"/>
      <c r="R184" s="288"/>
    </row>
    <row r="185">
      <c r="A185" s="165">
        <v>43616.0</v>
      </c>
      <c r="B185" s="166" t="s">
        <v>134</v>
      </c>
      <c r="C185" s="166" t="s">
        <v>135</v>
      </c>
      <c r="D185" s="166" t="s">
        <v>280</v>
      </c>
      <c r="E185" s="264">
        <v>-1131.0</v>
      </c>
      <c r="F185" s="290">
        <v>4.4368</v>
      </c>
      <c r="G185" s="170">
        <v>5018.13</v>
      </c>
      <c r="H185" s="167" t="s">
        <v>652</v>
      </c>
      <c r="I185" s="171">
        <f t="shared" ref="I185:J185" si="187">IFS(AND($B185&lt;&gt;"",$E185&lt;&gt;""),IF(INDEX(N:N,MATCH($C185,$P:$P,0),1)&lt;&gt;"",$E185*INDEX(N:N,MATCH($C185,$P:$P,0),1)+$G185,""),AND($B185&lt;&gt;"",$D185="COST",$G185&lt;0),$G185,TRUE,)</f>
        <v>-202.566</v>
      </c>
      <c r="J185" s="171">
        <f t="shared" si="187"/>
        <v>135.1051382</v>
      </c>
      <c r="K185" s="283" t="str">
        <f t="shared" si="3"/>
        <v>iShares Treasury Bond 20+ UCITS</v>
      </c>
      <c r="L185" s="284">
        <f t="shared" si="4"/>
        <v>53253</v>
      </c>
      <c r="M185" s="285">
        <f t="shared" si="5"/>
        <v>-206464.56</v>
      </c>
      <c r="N185" s="286" t="str">
        <f>IF($P185&lt;&gt;"",IF(MAXIFS(Investment!$M:$M,Investment!$H:$H,LEFT($P185,30)&amp;"*"),MAXIFS(Investment!$M:$M,Investment!$H:$H,LEFT($P185,30)&amp;"*"),),)</f>
        <v/>
      </c>
      <c r="O185" s="287" t="str">
        <f>IF($P185&lt;&gt;"",IF(MAXIFS(Investment!$AI:$AI,Investment!$H:$H,LEFT($P185,30)&amp;"*"),MAXIFS(Investment!$AI:$AI,Investment!$H:$H,LEFT($P185,30)&amp;"*"),),)</f>
        <v/>
      </c>
      <c r="P185" s="283"/>
      <c r="Q185" s="284"/>
      <c r="R185" s="288"/>
    </row>
    <row r="186">
      <c r="A186" s="165">
        <v>43616.0</v>
      </c>
      <c r="B186" s="166" t="s">
        <v>134</v>
      </c>
      <c r="C186" s="166" t="s">
        <v>135</v>
      </c>
      <c r="D186" s="166" t="s">
        <v>301</v>
      </c>
      <c r="E186" s="264"/>
      <c r="F186" s="290"/>
      <c r="G186" s="170">
        <v>-3.0</v>
      </c>
      <c r="H186" s="167" t="s">
        <v>653</v>
      </c>
      <c r="I186" s="171">
        <f t="shared" ref="I186:J186" si="188">IFS(AND($B186&lt;&gt;"",$E186&lt;&gt;""),IF(INDEX(N:N,MATCH($C186,$P:$P,0),1)&lt;&gt;"",$E186*INDEX(N:N,MATCH($C186,$P:$P,0),1)+$G186,""),AND($B186&lt;&gt;"",$D186="COST",$G186&lt;0),$G186,TRUE,)</f>
        <v>-3</v>
      </c>
      <c r="J186" s="171">
        <f t="shared" si="188"/>
        <v>-3</v>
      </c>
      <c r="K186" s="283" t="str">
        <f t="shared" si="3"/>
        <v>iShares Treasury Bond 20+ UCITS</v>
      </c>
      <c r="L186" s="284">
        <f t="shared" si="4"/>
        <v>53253</v>
      </c>
      <c r="M186" s="285">
        <f t="shared" si="5"/>
        <v>-206464.56</v>
      </c>
      <c r="N186" s="286" t="str">
        <f>IF($P186&lt;&gt;"",IF(MAXIFS(Investment!$M:$M,Investment!$H:$H,LEFT($P186,30)&amp;"*"),MAXIFS(Investment!$M:$M,Investment!$H:$H,LEFT($P186,30)&amp;"*"),),)</f>
        <v/>
      </c>
      <c r="O186" s="287" t="str">
        <f>IF($P186&lt;&gt;"",IF(MAXIFS(Investment!$AI:$AI,Investment!$H:$H,LEFT($P186,30)&amp;"*"),MAXIFS(Investment!$AI:$AI,Investment!$H:$H,LEFT($P186,30)&amp;"*"),),)</f>
        <v/>
      </c>
      <c r="P186" s="283"/>
      <c r="Q186" s="284"/>
      <c r="R186" s="288"/>
    </row>
    <row r="187">
      <c r="A187" s="165">
        <v>43614.0</v>
      </c>
      <c r="B187" s="166" t="s">
        <v>134</v>
      </c>
      <c r="C187" s="166" t="s">
        <v>135</v>
      </c>
      <c r="D187" s="166" t="s">
        <v>280</v>
      </c>
      <c r="E187" s="264">
        <v>-1016.0</v>
      </c>
      <c r="F187" s="290">
        <v>4.3762</v>
      </c>
      <c r="G187" s="170">
        <v>4446.32</v>
      </c>
      <c r="H187" s="167" t="s">
        <v>654</v>
      </c>
      <c r="I187" s="171">
        <f t="shared" ref="I187:J187" si="189">IFS(AND($B187&lt;&gt;"",$E187&lt;&gt;""),IF(INDEX(N:N,MATCH($C187,$P:$P,0),1)&lt;&gt;"",$E187*INDEX(N:N,MATCH($C187,$P:$P,0),1)+$G187,""),AND($B187&lt;&gt;"",$D187="COST",$G187&lt;0),$G187,TRUE,)</f>
        <v>-243.536</v>
      </c>
      <c r="J187" s="171">
        <f t="shared" si="189"/>
        <v>59.80076078</v>
      </c>
      <c r="K187" s="283" t="str">
        <f t="shared" si="3"/>
        <v>iShares Treasury Bond 20+ UCITS</v>
      </c>
      <c r="L187" s="284">
        <f t="shared" si="4"/>
        <v>53253</v>
      </c>
      <c r="M187" s="285">
        <f t="shared" si="5"/>
        <v>-206464.56</v>
      </c>
      <c r="N187" s="286" t="str">
        <f>IF($P187&lt;&gt;"",IF(MAXIFS(Investment!$M:$M,Investment!$H:$H,LEFT($P187,30)&amp;"*"),MAXIFS(Investment!$M:$M,Investment!$H:$H,LEFT($P187,30)&amp;"*"),),)</f>
        <v/>
      </c>
      <c r="O187" s="287" t="str">
        <f>IF($P187&lt;&gt;"",IF(MAXIFS(Investment!$AI:$AI,Investment!$H:$H,LEFT($P187,30)&amp;"*"),MAXIFS(Investment!$AI:$AI,Investment!$H:$H,LEFT($P187,30)&amp;"*"),),)</f>
        <v/>
      </c>
      <c r="P187" s="283"/>
      <c r="Q187" s="284"/>
      <c r="R187" s="288"/>
    </row>
    <row r="188">
      <c r="A188" s="165">
        <v>43614.0</v>
      </c>
      <c r="B188" s="166" t="s">
        <v>134</v>
      </c>
      <c r="C188" s="166" t="s">
        <v>135</v>
      </c>
      <c r="D188" s="166" t="s">
        <v>301</v>
      </c>
      <c r="E188" s="264"/>
      <c r="F188" s="290"/>
      <c r="G188" s="170">
        <v>-2.89</v>
      </c>
      <c r="H188" s="167" t="s">
        <v>655</v>
      </c>
      <c r="I188" s="171">
        <f t="shared" ref="I188:J188" si="190">IFS(AND($B188&lt;&gt;"",$E188&lt;&gt;""),IF(INDEX(N:N,MATCH($C188,$P:$P,0),1)&lt;&gt;"",$E188*INDEX(N:N,MATCH($C188,$P:$P,0),1)+$G188,""),AND($B188&lt;&gt;"",$D188="COST",$G188&lt;0),$G188,TRUE,)</f>
        <v>-2.89</v>
      </c>
      <c r="J188" s="171">
        <f t="shared" si="190"/>
        <v>-2.89</v>
      </c>
      <c r="K188" s="283" t="str">
        <f t="shared" si="3"/>
        <v>iShares Treasury Bond 20+ UCITS</v>
      </c>
      <c r="L188" s="284">
        <f t="shared" si="4"/>
        <v>53253</v>
      </c>
      <c r="M188" s="285">
        <f t="shared" si="5"/>
        <v>-206464.56</v>
      </c>
      <c r="N188" s="286" t="str">
        <f>IF($P188&lt;&gt;"",IF(MAXIFS(Investment!$M:$M,Investment!$H:$H,LEFT($P188,30)&amp;"*"),MAXIFS(Investment!$M:$M,Investment!$H:$H,LEFT($P188,30)&amp;"*"),),)</f>
        <v/>
      </c>
      <c r="O188" s="287" t="str">
        <f>IF($P188&lt;&gt;"",IF(MAXIFS(Investment!$AI:$AI,Investment!$H:$H,LEFT($P188,30)&amp;"*"),MAXIFS(Investment!$AI:$AI,Investment!$H:$H,LEFT($P188,30)&amp;"*"),),)</f>
        <v/>
      </c>
      <c r="P188" s="283"/>
      <c r="Q188" s="284"/>
      <c r="R188" s="288"/>
    </row>
    <row r="189">
      <c r="A189" s="165">
        <v>43613.0</v>
      </c>
      <c r="B189" s="166" t="s">
        <v>134</v>
      </c>
      <c r="C189" s="166" t="s">
        <v>135</v>
      </c>
      <c r="D189" s="166" t="s">
        <v>280</v>
      </c>
      <c r="E189" s="264">
        <v>-258.0</v>
      </c>
      <c r="F189" s="290">
        <v>4.3348</v>
      </c>
      <c r="G189" s="170">
        <v>1118.4</v>
      </c>
      <c r="H189" s="167" t="s">
        <v>656</v>
      </c>
      <c r="I189" s="171">
        <f t="shared" ref="I189:J189" si="191">IFS(AND($B189&lt;&gt;"",$E189&lt;&gt;""),IF(INDEX(N:N,MATCH($C189,$P:$P,0),1)&lt;&gt;"",$E189*INDEX(N:N,MATCH($C189,$P:$P,0),1)+$G189,""),AND($B189&lt;&gt;"",$D189="COST",$G189&lt;0),$G189,TRUE,)</f>
        <v>-72.528</v>
      </c>
      <c r="J189" s="171">
        <f t="shared" si="191"/>
        <v>4.500429412</v>
      </c>
      <c r="K189" s="283" t="str">
        <f t="shared" si="3"/>
        <v>iShares Treasury Bond 20+ UCITS</v>
      </c>
      <c r="L189" s="284">
        <f t="shared" si="4"/>
        <v>53253</v>
      </c>
      <c r="M189" s="285">
        <f t="shared" si="5"/>
        <v>-206464.56</v>
      </c>
      <c r="N189" s="286" t="str">
        <f>IF($P189&lt;&gt;"",IF(MAXIFS(Investment!$M:$M,Investment!$H:$H,LEFT($P189,30)&amp;"*"),MAXIFS(Investment!$M:$M,Investment!$H:$H,LEFT($P189,30)&amp;"*"),),)</f>
        <v/>
      </c>
      <c r="O189" s="287" t="str">
        <f>IF($P189&lt;&gt;"",IF(MAXIFS(Investment!$AI:$AI,Investment!$H:$H,LEFT($P189,30)&amp;"*"),MAXIFS(Investment!$AI:$AI,Investment!$H:$H,LEFT($P189,30)&amp;"*"),),)</f>
        <v/>
      </c>
      <c r="P189" s="283"/>
      <c r="Q189" s="284"/>
      <c r="R189" s="288"/>
    </row>
    <row r="190">
      <c r="A190" s="165">
        <v>43613.0</v>
      </c>
      <c r="B190" s="166" t="s">
        <v>134</v>
      </c>
      <c r="C190" s="166" t="s">
        <v>135</v>
      </c>
      <c r="D190" s="166" t="s">
        <v>301</v>
      </c>
      <c r="E190" s="264"/>
      <c r="F190" s="290"/>
      <c r="G190" s="170">
        <v>-2.22</v>
      </c>
      <c r="H190" s="167" t="s">
        <v>657</v>
      </c>
      <c r="I190" s="171">
        <f t="shared" ref="I190:J190" si="192">IFS(AND($B190&lt;&gt;"",$E190&lt;&gt;""),IF(INDEX(N:N,MATCH($C190,$P:$P,0),1)&lt;&gt;"",$E190*INDEX(N:N,MATCH($C190,$P:$P,0),1)+$G190,""),AND($B190&lt;&gt;"",$D190="COST",$G190&lt;0),$G190,TRUE,)</f>
        <v>-2.22</v>
      </c>
      <c r="J190" s="171">
        <f t="shared" si="192"/>
        <v>-2.22</v>
      </c>
      <c r="K190" s="283" t="str">
        <f t="shared" si="3"/>
        <v>iShares Treasury Bond 20+ UCITS</v>
      </c>
      <c r="L190" s="284">
        <f t="shared" si="4"/>
        <v>53253</v>
      </c>
      <c r="M190" s="285">
        <f t="shared" si="5"/>
        <v>-206464.56</v>
      </c>
      <c r="N190" s="286" t="str">
        <f>IF($P190&lt;&gt;"",IF(MAXIFS(Investment!$M:$M,Investment!$H:$H,LEFT($P190,30)&amp;"*"),MAXIFS(Investment!$M:$M,Investment!$H:$H,LEFT($P190,30)&amp;"*"),),)</f>
        <v/>
      </c>
      <c r="O190" s="287" t="str">
        <f>IF($P190&lt;&gt;"",IF(MAXIFS(Investment!$AI:$AI,Investment!$H:$H,LEFT($P190,30)&amp;"*"),MAXIFS(Investment!$AI:$AI,Investment!$H:$H,LEFT($P190,30)&amp;"*"),),)</f>
        <v/>
      </c>
      <c r="P190" s="283"/>
      <c r="Q190" s="284"/>
      <c r="R190" s="288"/>
    </row>
    <row r="191">
      <c r="A191" s="165">
        <v>43609.0</v>
      </c>
      <c r="B191" s="166" t="s">
        <v>134</v>
      </c>
      <c r="C191" s="166" t="s">
        <v>135</v>
      </c>
      <c r="D191" s="166" t="s">
        <v>280</v>
      </c>
      <c r="E191" s="264">
        <v>-249.0</v>
      </c>
      <c r="F191" s="290">
        <v>4.2953</v>
      </c>
      <c r="G191" s="170">
        <v>1069.53</v>
      </c>
      <c r="H191" s="167" t="s">
        <v>658</v>
      </c>
      <c r="I191" s="171">
        <f t="shared" ref="I191:J191" si="193">IFS(AND($B191&lt;&gt;"",$E191&lt;&gt;""),IF(INDEX(N:N,MATCH($C191,$P:$P,0),1)&lt;&gt;"",$E191*INDEX(N:N,MATCH($C191,$P:$P,0),1)+$G191,""),AND($B191&lt;&gt;"",$D191="COST",$G191&lt;0),$G191,TRUE,)</f>
        <v>-79.854</v>
      </c>
      <c r="J191" s="171">
        <f t="shared" si="193"/>
        <v>-5.512608824</v>
      </c>
      <c r="K191" s="283" t="str">
        <f t="shared" si="3"/>
        <v>iShares Treasury Bond 20+ UCITS</v>
      </c>
      <c r="L191" s="284">
        <f t="shared" si="4"/>
        <v>53253</v>
      </c>
      <c r="M191" s="285">
        <f t="shared" si="5"/>
        <v>-206464.56</v>
      </c>
      <c r="N191" s="286" t="str">
        <f>IF($P191&lt;&gt;"",IF(MAXIFS(Investment!$M:$M,Investment!$H:$H,LEFT($P191,30)&amp;"*"),MAXIFS(Investment!$M:$M,Investment!$H:$H,LEFT($P191,30)&amp;"*"),),)</f>
        <v/>
      </c>
      <c r="O191" s="287" t="str">
        <f>IF($P191&lt;&gt;"",IF(MAXIFS(Investment!$AI:$AI,Investment!$H:$H,LEFT($P191,30)&amp;"*"),MAXIFS(Investment!$AI:$AI,Investment!$H:$H,LEFT($P191,30)&amp;"*"),),)</f>
        <v/>
      </c>
      <c r="P191" s="283"/>
      <c r="Q191" s="284"/>
      <c r="R191" s="288"/>
    </row>
    <row r="192">
      <c r="A192" s="165">
        <v>43609.0</v>
      </c>
      <c r="B192" s="166" t="s">
        <v>134</v>
      </c>
      <c r="C192" s="166" t="s">
        <v>135</v>
      </c>
      <c r="D192" s="166" t="s">
        <v>301</v>
      </c>
      <c r="E192" s="264"/>
      <c r="F192" s="290"/>
      <c r="G192" s="170">
        <v>-2.21</v>
      </c>
      <c r="H192" s="167" t="s">
        <v>584</v>
      </c>
      <c r="I192" s="171">
        <f t="shared" ref="I192:J192" si="194">IFS(AND($B192&lt;&gt;"",$E192&lt;&gt;""),IF(INDEX(N:N,MATCH($C192,$P:$P,0),1)&lt;&gt;"",$E192*INDEX(N:N,MATCH($C192,$P:$P,0),1)+$G192,""),AND($B192&lt;&gt;"",$D192="COST",$G192&lt;0),$G192,TRUE,)</f>
        <v>-2.21</v>
      </c>
      <c r="J192" s="171">
        <f t="shared" si="194"/>
        <v>-2.21</v>
      </c>
      <c r="K192" s="283" t="str">
        <f t="shared" si="3"/>
        <v>iShares Treasury Bond 20+ UCITS</v>
      </c>
      <c r="L192" s="284">
        <f t="shared" si="4"/>
        <v>53253</v>
      </c>
      <c r="M192" s="285">
        <f t="shared" si="5"/>
        <v>-206464.56</v>
      </c>
      <c r="N192" s="286" t="str">
        <f>IF($P192&lt;&gt;"",IF(MAXIFS(Investment!$M:$M,Investment!$H:$H,LEFT($P192,30)&amp;"*"),MAXIFS(Investment!$M:$M,Investment!$H:$H,LEFT($P192,30)&amp;"*"),),)</f>
        <v/>
      </c>
      <c r="O192" s="287" t="str">
        <f>IF($P192&lt;&gt;"",IF(MAXIFS(Investment!$AI:$AI,Investment!$H:$H,LEFT($P192,30)&amp;"*"),MAXIFS(Investment!$AI:$AI,Investment!$H:$H,LEFT($P192,30)&amp;"*"),),)</f>
        <v/>
      </c>
      <c r="P192" s="283"/>
      <c r="Q192" s="284"/>
      <c r="R192" s="288"/>
    </row>
    <row r="193">
      <c r="A193" s="165">
        <v>43608.0</v>
      </c>
      <c r="B193" s="166" t="s">
        <v>134</v>
      </c>
      <c r="C193" s="166" t="s">
        <v>135</v>
      </c>
      <c r="D193" s="166" t="s">
        <v>280</v>
      </c>
      <c r="E193" s="264">
        <v>-277.0</v>
      </c>
      <c r="F193" s="290">
        <v>4.3067</v>
      </c>
      <c r="G193" s="170">
        <v>1192.96</v>
      </c>
      <c r="H193" s="167" t="s">
        <v>659</v>
      </c>
      <c r="I193" s="171">
        <f t="shared" ref="I193:J193" si="195">IFS(AND($B193&lt;&gt;"",$E193&lt;&gt;""),IF(INDEX(N:N,MATCH($C193,$P:$P,0),1)&lt;&gt;"",$E193*INDEX(N:N,MATCH($C193,$P:$P,0),1)+$G193,""),AND($B193&lt;&gt;"",$D193="COST",$G193&lt;0),$G193,TRUE,)</f>
        <v>-85.672</v>
      </c>
      <c r="J193" s="171">
        <f t="shared" si="195"/>
        <v>-2.970934314</v>
      </c>
      <c r="K193" s="283" t="str">
        <f t="shared" si="3"/>
        <v>iShares Treasury Bond 20+ UCITS</v>
      </c>
      <c r="L193" s="284">
        <f t="shared" si="4"/>
        <v>53253</v>
      </c>
      <c r="M193" s="285">
        <f t="shared" si="5"/>
        <v>-206464.56</v>
      </c>
      <c r="N193" s="286" t="str">
        <f>IF($P193&lt;&gt;"",IF(MAXIFS(Investment!$M:$M,Investment!$H:$H,LEFT($P193,30)&amp;"*"),MAXIFS(Investment!$M:$M,Investment!$H:$H,LEFT($P193,30)&amp;"*"),),)</f>
        <v/>
      </c>
      <c r="O193" s="287" t="str">
        <f>IF($P193&lt;&gt;"",IF(MAXIFS(Investment!$AI:$AI,Investment!$H:$H,LEFT($P193,30)&amp;"*"),MAXIFS(Investment!$AI:$AI,Investment!$H:$H,LEFT($P193,30)&amp;"*"),),)</f>
        <v/>
      </c>
      <c r="P193" s="283"/>
      <c r="Q193" s="284"/>
      <c r="R193" s="288"/>
    </row>
    <row r="194">
      <c r="A194" s="165">
        <v>43608.0</v>
      </c>
      <c r="B194" s="166" t="s">
        <v>134</v>
      </c>
      <c r="C194" s="166" t="s">
        <v>135</v>
      </c>
      <c r="D194" s="166" t="s">
        <v>301</v>
      </c>
      <c r="E194" s="264"/>
      <c r="F194" s="290"/>
      <c r="G194" s="170">
        <v>-2.24</v>
      </c>
      <c r="H194" s="167" t="s">
        <v>660</v>
      </c>
      <c r="I194" s="171">
        <f t="shared" ref="I194:J194" si="196">IFS(AND($B194&lt;&gt;"",$E194&lt;&gt;""),IF(INDEX(N:N,MATCH($C194,$P:$P,0),1)&lt;&gt;"",$E194*INDEX(N:N,MATCH($C194,$P:$P,0),1)+$G194,""),AND($B194&lt;&gt;"",$D194="COST",$G194&lt;0),$G194,TRUE,)</f>
        <v>-2.24</v>
      </c>
      <c r="J194" s="171">
        <f t="shared" si="196"/>
        <v>-2.24</v>
      </c>
      <c r="K194" s="283" t="str">
        <f t="shared" si="3"/>
        <v>iShares Treasury Bond 20+ UCITS</v>
      </c>
      <c r="L194" s="284">
        <f t="shared" si="4"/>
        <v>53253</v>
      </c>
      <c r="M194" s="285">
        <f t="shared" si="5"/>
        <v>-206464.56</v>
      </c>
      <c r="N194" s="286" t="str">
        <f>IF($P194&lt;&gt;"",IF(MAXIFS(Investment!$M:$M,Investment!$H:$H,LEFT($P194,30)&amp;"*"),MAXIFS(Investment!$M:$M,Investment!$H:$H,LEFT($P194,30)&amp;"*"),),)</f>
        <v/>
      </c>
      <c r="O194" s="287" t="str">
        <f>IF($P194&lt;&gt;"",IF(MAXIFS(Investment!$AI:$AI,Investment!$H:$H,LEFT($P194,30)&amp;"*"),MAXIFS(Investment!$AI:$AI,Investment!$H:$H,LEFT($P194,30)&amp;"*"),),)</f>
        <v/>
      </c>
      <c r="P194" s="283"/>
      <c r="Q194" s="284"/>
      <c r="R194" s="288"/>
    </row>
    <row r="195">
      <c r="A195" s="165">
        <v>43608.0</v>
      </c>
      <c r="B195" s="166" t="s">
        <v>134</v>
      </c>
      <c r="C195" s="166" t="s">
        <v>135</v>
      </c>
      <c r="D195" s="166" t="s">
        <v>280</v>
      </c>
      <c r="E195" s="264">
        <v>-292.0</v>
      </c>
      <c r="F195" s="290">
        <v>4.2938</v>
      </c>
      <c r="G195" s="170">
        <v>1253.79</v>
      </c>
      <c r="H195" s="167" t="s">
        <v>661</v>
      </c>
      <c r="I195" s="171">
        <f t="shared" ref="I195:J195" si="197">IFS(AND($B195&lt;&gt;"",$E195&lt;&gt;""),IF(INDEX(N:N,MATCH($C195,$P:$P,0),1)&lt;&gt;"",$E195*INDEX(N:N,MATCH($C195,$P:$P,0),1)+$G195,""),AND($B195&lt;&gt;"",$D195="COST",$G195&lt;0),$G195,TRUE,)</f>
        <v>-94.082</v>
      </c>
      <c r="J195" s="171">
        <f t="shared" si="197"/>
        <v>-6.902537255</v>
      </c>
      <c r="K195" s="283" t="str">
        <f t="shared" si="3"/>
        <v>iShares Treasury Bond 20+ UCITS</v>
      </c>
      <c r="L195" s="284">
        <f t="shared" si="4"/>
        <v>53253</v>
      </c>
      <c r="M195" s="285">
        <f t="shared" si="5"/>
        <v>-206464.56</v>
      </c>
      <c r="N195" s="286" t="str">
        <f>IF($P195&lt;&gt;"",IF(MAXIFS(Investment!$M:$M,Investment!$H:$H,LEFT($P195,30)&amp;"*"),MAXIFS(Investment!$M:$M,Investment!$H:$H,LEFT($P195,30)&amp;"*"),),)</f>
        <v/>
      </c>
      <c r="O195" s="287" t="str">
        <f>IF($P195&lt;&gt;"",IF(MAXIFS(Investment!$AI:$AI,Investment!$H:$H,LEFT($P195,30)&amp;"*"),MAXIFS(Investment!$AI:$AI,Investment!$H:$H,LEFT($P195,30)&amp;"*"),),)</f>
        <v/>
      </c>
      <c r="P195" s="283"/>
      <c r="Q195" s="284"/>
      <c r="R195" s="288"/>
    </row>
    <row r="196">
      <c r="A196" s="165">
        <v>43608.0</v>
      </c>
      <c r="B196" s="166" t="s">
        <v>134</v>
      </c>
      <c r="C196" s="166" t="s">
        <v>135</v>
      </c>
      <c r="D196" s="166" t="s">
        <v>301</v>
      </c>
      <c r="E196" s="264"/>
      <c r="F196" s="290"/>
      <c r="G196" s="170">
        <v>-2.25</v>
      </c>
      <c r="H196" s="167" t="s">
        <v>662</v>
      </c>
      <c r="I196" s="171">
        <f t="shared" ref="I196:J196" si="198">IFS(AND($B196&lt;&gt;"",$E196&lt;&gt;""),IF(INDEX(N:N,MATCH($C196,$P:$P,0),1)&lt;&gt;"",$E196*INDEX(N:N,MATCH($C196,$P:$P,0),1)+$G196,""),AND($B196&lt;&gt;"",$D196="COST",$G196&lt;0),$G196,TRUE,)</f>
        <v>-2.25</v>
      </c>
      <c r="J196" s="171">
        <f t="shared" si="198"/>
        <v>-2.25</v>
      </c>
      <c r="K196" s="283" t="str">
        <f t="shared" si="3"/>
        <v>iShares Treasury Bond 20+ UCITS</v>
      </c>
      <c r="L196" s="284">
        <f t="shared" si="4"/>
        <v>53253</v>
      </c>
      <c r="M196" s="285">
        <f t="shared" si="5"/>
        <v>-206464.56</v>
      </c>
      <c r="N196" s="286" t="str">
        <f>IF($P196&lt;&gt;"",IF(MAXIFS(Investment!$M:$M,Investment!$H:$H,LEFT($P196,30)&amp;"*"),MAXIFS(Investment!$M:$M,Investment!$H:$H,LEFT($P196,30)&amp;"*"),),)</f>
        <v/>
      </c>
      <c r="O196" s="287" t="str">
        <f>IF($P196&lt;&gt;"",IF(MAXIFS(Investment!$AI:$AI,Investment!$H:$H,LEFT($P196,30)&amp;"*"),MAXIFS(Investment!$AI:$AI,Investment!$H:$H,LEFT($P196,30)&amp;"*"),),)</f>
        <v/>
      </c>
      <c r="P196" s="283"/>
      <c r="Q196" s="284"/>
      <c r="R196" s="288"/>
    </row>
    <row r="197">
      <c r="A197" s="165">
        <v>43608.0</v>
      </c>
      <c r="B197" s="166" t="s">
        <v>134</v>
      </c>
      <c r="C197" s="166" t="s">
        <v>135</v>
      </c>
      <c r="D197" s="166" t="s">
        <v>280</v>
      </c>
      <c r="E197" s="264">
        <v>-251.0</v>
      </c>
      <c r="F197" s="290">
        <v>4.278</v>
      </c>
      <c r="G197" s="170">
        <v>1073.78</v>
      </c>
      <c r="H197" s="167" t="s">
        <v>663</v>
      </c>
      <c r="I197" s="171">
        <f t="shared" ref="I197:J197" si="199">IFS(AND($B197&lt;&gt;"",$E197&lt;&gt;""),IF(INDEX(N:N,MATCH($C197,$P:$P,0),1)&lt;&gt;"",$E197*INDEX(N:N,MATCH($C197,$P:$P,0),1)+$G197,""),AND($B197&lt;&gt;"",$D197="COST",$G197&lt;0),$G197,TRUE,)</f>
        <v>-84.836</v>
      </c>
      <c r="J197" s="171">
        <f t="shared" si="199"/>
        <v>-9.897489216</v>
      </c>
      <c r="K197" s="283" t="str">
        <f t="shared" si="3"/>
        <v>iShares Treasury Bond 20+ UCITS</v>
      </c>
      <c r="L197" s="284">
        <f t="shared" si="4"/>
        <v>53253</v>
      </c>
      <c r="M197" s="285">
        <f t="shared" si="5"/>
        <v>-206464.56</v>
      </c>
      <c r="N197" s="286" t="str">
        <f>IF($P197&lt;&gt;"",IF(MAXIFS(Investment!$M:$M,Investment!$H:$H,LEFT($P197,30)&amp;"*"),MAXIFS(Investment!$M:$M,Investment!$H:$H,LEFT($P197,30)&amp;"*"),),)</f>
        <v/>
      </c>
      <c r="O197" s="287" t="str">
        <f>IF($P197&lt;&gt;"",IF(MAXIFS(Investment!$AI:$AI,Investment!$H:$H,LEFT($P197,30)&amp;"*"),MAXIFS(Investment!$AI:$AI,Investment!$H:$H,LEFT($P197,30)&amp;"*"),),)</f>
        <v/>
      </c>
      <c r="P197" s="283"/>
      <c r="Q197" s="284"/>
      <c r="R197" s="288"/>
    </row>
    <row r="198">
      <c r="A198" s="165">
        <v>43608.0</v>
      </c>
      <c r="B198" s="166" t="s">
        <v>134</v>
      </c>
      <c r="C198" s="166" t="s">
        <v>135</v>
      </c>
      <c r="D198" s="166" t="s">
        <v>301</v>
      </c>
      <c r="E198" s="264"/>
      <c r="F198" s="290"/>
      <c r="G198" s="170">
        <v>-2.21</v>
      </c>
      <c r="H198" s="167" t="s">
        <v>584</v>
      </c>
      <c r="I198" s="171">
        <f t="shared" ref="I198:J198" si="200">IFS(AND($B198&lt;&gt;"",$E198&lt;&gt;""),IF(INDEX(N:N,MATCH($C198,$P:$P,0),1)&lt;&gt;"",$E198*INDEX(N:N,MATCH($C198,$P:$P,0),1)+$G198,""),AND($B198&lt;&gt;"",$D198="COST",$G198&lt;0),$G198,TRUE,)</f>
        <v>-2.21</v>
      </c>
      <c r="J198" s="171">
        <f t="shared" si="200"/>
        <v>-2.21</v>
      </c>
      <c r="K198" s="283" t="str">
        <f t="shared" si="3"/>
        <v>iShares Treasury Bond 20+ UCITS</v>
      </c>
      <c r="L198" s="284">
        <f t="shared" si="4"/>
        <v>53253</v>
      </c>
      <c r="M198" s="285">
        <f t="shared" si="5"/>
        <v>-206464.56</v>
      </c>
      <c r="N198" s="286" t="str">
        <f>IF($P198&lt;&gt;"",IF(MAXIFS(Investment!$M:$M,Investment!$H:$H,LEFT($P198,30)&amp;"*"),MAXIFS(Investment!$M:$M,Investment!$H:$H,LEFT($P198,30)&amp;"*"),),)</f>
        <v/>
      </c>
      <c r="O198" s="287" t="str">
        <f>IF($P198&lt;&gt;"",IF(MAXIFS(Investment!$AI:$AI,Investment!$H:$H,LEFT($P198,30)&amp;"*"),MAXIFS(Investment!$AI:$AI,Investment!$H:$H,LEFT($P198,30)&amp;"*"),),)</f>
        <v/>
      </c>
      <c r="P198" s="283"/>
      <c r="Q198" s="284"/>
      <c r="R198" s="288"/>
    </row>
    <row r="199">
      <c r="A199" s="165">
        <v>43600.0</v>
      </c>
      <c r="B199" s="166" t="s">
        <v>127</v>
      </c>
      <c r="C199" s="166" t="s">
        <v>128</v>
      </c>
      <c r="D199" s="166" t="s">
        <v>280</v>
      </c>
      <c r="E199" s="264">
        <v>-6.0</v>
      </c>
      <c r="F199" s="290">
        <v>177.46</v>
      </c>
      <c r="G199" s="170">
        <v>1064.76</v>
      </c>
      <c r="H199" s="167" t="s">
        <v>664</v>
      </c>
      <c r="I199" s="171">
        <f t="shared" ref="I199:J199" si="201">IFS(AND($B199&lt;&gt;"",$E199&lt;&gt;""),IF(INDEX(N:N,MATCH($C199,$P:$P,0),1)&lt;&gt;"",$E199*INDEX(N:N,MATCH($C199,$P:$P,0),1)+$G199,""),AND($B199&lt;&gt;"",$D199="COST",$G199&lt;0),$G199,TRUE,)</f>
        <v>-46.86</v>
      </c>
      <c r="J199" s="171">
        <f t="shared" si="201"/>
        <v>4.007294118</v>
      </c>
      <c r="K199" s="283" t="str">
        <f t="shared" si="3"/>
        <v>iShares Treasury Bond 7-10 UCITS</v>
      </c>
      <c r="L199" s="284">
        <f t="shared" si="4"/>
        <v>547</v>
      </c>
      <c r="M199" s="285">
        <f t="shared" si="5"/>
        <v>-81771.76</v>
      </c>
      <c r="N199" s="286" t="str">
        <f>IF($P199&lt;&gt;"",IF(MAXIFS(Investment!$M:$M,Investment!$H:$H,LEFT($P199,30)&amp;"*"),MAXIFS(Investment!$M:$M,Investment!$H:$H,LEFT($P199,30)&amp;"*"),),)</f>
        <v/>
      </c>
      <c r="O199" s="287" t="str">
        <f>IF($P199&lt;&gt;"",IF(MAXIFS(Investment!$AI:$AI,Investment!$H:$H,LEFT($P199,30)&amp;"*"),MAXIFS(Investment!$AI:$AI,Investment!$H:$H,LEFT($P199,30)&amp;"*"),),)</f>
        <v/>
      </c>
      <c r="P199" s="283"/>
      <c r="Q199" s="284"/>
      <c r="R199" s="288"/>
    </row>
    <row r="200">
      <c r="A200" s="165">
        <v>43599.0</v>
      </c>
      <c r="B200" s="166" t="s">
        <v>118</v>
      </c>
      <c r="C200" s="166" t="s">
        <v>120</v>
      </c>
      <c r="D200" s="166" t="s">
        <v>332</v>
      </c>
      <c r="E200" s="264">
        <v>461.0</v>
      </c>
      <c r="F200" s="290">
        <v>7.13</v>
      </c>
      <c r="G200" s="170">
        <v>-3286.93</v>
      </c>
      <c r="H200" s="167" t="s">
        <v>665</v>
      </c>
      <c r="I200" s="171">
        <f t="shared" ref="I200:J200" si="202">IFS(AND($B200&lt;&gt;"",$E200&lt;&gt;""),IF(INDEX(N:N,MATCH($C200,$P:$P,0),1)&lt;&gt;"",$E200*INDEX(N:N,MATCH($C200,$P:$P,0),1)+$G200,""),AND($B200&lt;&gt;"",$D200="COST",$G200&lt;0),$G200,TRUE,)</f>
        <v>115.25</v>
      </c>
      <c r="J200" s="171">
        <f t="shared" si="202"/>
        <v>53.93880784</v>
      </c>
      <c r="K200" s="283" t="str">
        <f t="shared" si="3"/>
        <v>ETFS All Commodities ETC</v>
      </c>
      <c r="L200" s="284">
        <f t="shared" si="4"/>
        <v>11745</v>
      </c>
      <c r="M200" s="285">
        <f t="shared" si="5"/>
        <v>-84366.02</v>
      </c>
      <c r="N200" s="286" t="str">
        <f>IF($P200&lt;&gt;"",IF(MAXIFS(Investment!$M:$M,Investment!$H:$H,LEFT($P200,30)&amp;"*"),MAXIFS(Investment!$M:$M,Investment!$H:$H,LEFT($P200,30)&amp;"*"),),)</f>
        <v/>
      </c>
      <c r="O200" s="287" t="str">
        <f>IF($P200&lt;&gt;"",IF(MAXIFS(Investment!$AI:$AI,Investment!$H:$H,LEFT($P200,30)&amp;"*"),MAXIFS(Investment!$AI:$AI,Investment!$H:$H,LEFT($P200,30)&amp;"*"),),)</f>
        <v/>
      </c>
      <c r="P200" s="283"/>
      <c r="Q200" s="284"/>
      <c r="R200" s="288"/>
    </row>
    <row r="201">
      <c r="A201" s="165">
        <v>43598.0</v>
      </c>
      <c r="B201" s="166" t="s">
        <v>134</v>
      </c>
      <c r="C201" s="166" t="s">
        <v>135</v>
      </c>
      <c r="D201" s="166" t="s">
        <v>280</v>
      </c>
      <c r="E201" s="264">
        <v>-552.0</v>
      </c>
      <c r="F201" s="290">
        <v>4.2044</v>
      </c>
      <c r="G201" s="170">
        <v>2320.83</v>
      </c>
      <c r="H201" s="167" t="s">
        <v>666</v>
      </c>
      <c r="I201" s="171">
        <f t="shared" ref="I201:J201" si="203">IFS(AND($B201&lt;&gt;"",$E201&lt;&gt;""),IF(INDEX(N:N,MATCH($C201,$P:$P,0),1)&lt;&gt;"",$E201*INDEX(N:N,MATCH($C201,$P:$P,0),1)+$G201,""),AND($B201&lt;&gt;"",$D201="COST",$G201&lt;0),$G201,TRUE,)</f>
        <v>-227.202</v>
      </c>
      <c r="J201" s="171">
        <f t="shared" si="203"/>
        <v>-62.39698824</v>
      </c>
      <c r="K201" s="283" t="str">
        <f t="shared" si="3"/>
        <v>iShares Treasury Bond 20+ UCITS</v>
      </c>
      <c r="L201" s="284">
        <f t="shared" si="4"/>
        <v>53253</v>
      </c>
      <c r="M201" s="285">
        <f t="shared" si="5"/>
        <v>-206464.56</v>
      </c>
      <c r="N201" s="286" t="str">
        <f>IF($P201&lt;&gt;"",IF(MAXIFS(Investment!$M:$M,Investment!$H:$H,LEFT($P201,30)&amp;"*"),MAXIFS(Investment!$M:$M,Investment!$H:$H,LEFT($P201,30)&amp;"*"),),)</f>
        <v/>
      </c>
      <c r="O201" s="287" t="str">
        <f>IF($P201&lt;&gt;"",IF(MAXIFS(Investment!$AI:$AI,Investment!$H:$H,LEFT($P201,30)&amp;"*"),MAXIFS(Investment!$AI:$AI,Investment!$H:$H,LEFT($P201,30)&amp;"*"),),)</f>
        <v/>
      </c>
      <c r="P201" s="283"/>
      <c r="Q201" s="284"/>
      <c r="R201" s="288"/>
    </row>
    <row r="202">
      <c r="A202" s="165">
        <v>43598.0</v>
      </c>
      <c r="B202" s="166" t="s">
        <v>134</v>
      </c>
      <c r="C202" s="166" t="s">
        <v>135</v>
      </c>
      <c r="D202" s="166" t="s">
        <v>301</v>
      </c>
      <c r="E202" s="264"/>
      <c r="F202" s="290"/>
      <c r="G202" s="170">
        <v>-2.46</v>
      </c>
      <c r="H202" s="167" t="s">
        <v>639</v>
      </c>
      <c r="I202" s="171">
        <f t="shared" ref="I202:J202" si="204">IFS(AND($B202&lt;&gt;"",$E202&lt;&gt;""),IF(INDEX(N:N,MATCH($C202,$P:$P,0),1)&lt;&gt;"",$E202*INDEX(N:N,MATCH($C202,$P:$P,0),1)+$G202,""),AND($B202&lt;&gt;"",$D202="COST",$G202&lt;0),$G202,TRUE,)</f>
        <v>-2.46</v>
      </c>
      <c r="J202" s="171">
        <f t="shared" si="204"/>
        <v>-2.46</v>
      </c>
      <c r="K202" s="283" t="str">
        <f t="shared" si="3"/>
        <v>iShares Treasury Bond 20+ UCITS</v>
      </c>
      <c r="L202" s="284">
        <f t="shared" si="4"/>
        <v>53253</v>
      </c>
      <c r="M202" s="285">
        <f t="shared" si="5"/>
        <v>-206464.56</v>
      </c>
      <c r="N202" s="286" t="str">
        <f>IF($P202&lt;&gt;"",IF(MAXIFS(Investment!$M:$M,Investment!$H:$H,LEFT($P202,30)&amp;"*"),MAXIFS(Investment!$M:$M,Investment!$H:$H,LEFT($P202,30)&amp;"*"),),)</f>
        <v/>
      </c>
      <c r="O202" s="287" t="str">
        <f>IF($P202&lt;&gt;"",IF(MAXIFS(Investment!$AI:$AI,Investment!$H:$H,LEFT($P202,30)&amp;"*"),MAXIFS(Investment!$AI:$AI,Investment!$H:$H,LEFT($P202,30)&amp;"*"),),)</f>
        <v/>
      </c>
      <c r="P202" s="283"/>
      <c r="Q202" s="284"/>
      <c r="R202" s="288"/>
    </row>
    <row r="203">
      <c r="A203" s="165">
        <v>43596.0</v>
      </c>
      <c r="B203" s="166"/>
      <c r="C203" s="166"/>
      <c r="D203" s="166" t="s">
        <v>299</v>
      </c>
      <c r="E203" s="264"/>
      <c r="F203" s="290"/>
      <c r="G203" s="170">
        <v>-500.0</v>
      </c>
      <c r="H203" s="167" t="s">
        <v>620</v>
      </c>
      <c r="I203" s="171" t="str">
        <f t="shared" ref="I203:J203" si="205">IFS(AND($B203&lt;&gt;"",$E203&lt;&gt;""),IF(INDEX(N:N,MATCH($C203,$P:$P,0),1)&lt;&gt;"",$E203*INDEX(N:N,MATCH($C203,$P:$P,0),1)+$G203,""),AND($B203&lt;&gt;"",$D203="COST",$G203&lt;0),$G203,TRUE,)</f>
        <v/>
      </c>
      <c r="J203" s="171" t="str">
        <f t="shared" si="205"/>
        <v/>
      </c>
      <c r="K203" s="283" t="str">
        <f t="shared" si="3"/>
        <v/>
      </c>
      <c r="L203" s="284" t="str">
        <f t="shared" si="4"/>
        <v/>
      </c>
      <c r="M203" s="285" t="str">
        <f t="shared" si="5"/>
        <v/>
      </c>
      <c r="N203" s="286" t="str">
        <f>IF($P203&lt;&gt;"",IF(MAXIFS(Investment!$M:$M,Investment!$H:$H,LEFT($P203,30)&amp;"*"),MAXIFS(Investment!$M:$M,Investment!$H:$H,LEFT($P203,30)&amp;"*"),),)</f>
        <v/>
      </c>
      <c r="O203" s="287" t="str">
        <f>IF($P203&lt;&gt;"",IF(MAXIFS(Investment!$AI:$AI,Investment!$H:$H,LEFT($P203,30)&amp;"*"),MAXIFS(Investment!$AI:$AI,Investment!$H:$H,LEFT($P203,30)&amp;"*"),),)</f>
        <v/>
      </c>
      <c r="P203" s="283"/>
      <c r="Q203" s="284"/>
      <c r="R203" s="288"/>
    </row>
    <row r="204">
      <c r="A204" s="165">
        <v>43593.0</v>
      </c>
      <c r="B204" s="166" t="s">
        <v>134</v>
      </c>
      <c r="C204" s="166" t="s">
        <v>135</v>
      </c>
      <c r="D204" s="166" t="s">
        <v>280</v>
      </c>
      <c r="E204" s="264">
        <v>-412.0</v>
      </c>
      <c r="F204" s="290">
        <v>4.2208</v>
      </c>
      <c r="G204" s="170">
        <v>1738.97</v>
      </c>
      <c r="H204" s="167" t="s">
        <v>667</v>
      </c>
      <c r="I204" s="171">
        <f t="shared" ref="I204:J204" si="206">IFS(AND($B204&lt;&gt;"",$E204&lt;&gt;""),IF(INDEX(N:N,MATCH($C204,$P:$P,0),1)&lt;&gt;"",$E204*INDEX(N:N,MATCH($C204,$P:$P,0),1)+$G204,""),AND($B204&lt;&gt;"",$D204="COST",$G204&lt;0),$G204,TRUE,)</f>
        <v>-162.822</v>
      </c>
      <c r="J204" s="171">
        <f t="shared" si="206"/>
        <v>-39.81536078</v>
      </c>
      <c r="K204" s="283" t="str">
        <f t="shared" si="3"/>
        <v>iShares Treasury Bond 20+ UCITS</v>
      </c>
      <c r="L204" s="284">
        <f t="shared" si="4"/>
        <v>53253</v>
      </c>
      <c r="M204" s="285">
        <f t="shared" si="5"/>
        <v>-206464.56</v>
      </c>
      <c r="N204" s="286" t="str">
        <f>IF($P204&lt;&gt;"",IF(MAXIFS(Investment!$M:$M,Investment!$H:$H,LEFT($P204,30)&amp;"*"),MAXIFS(Investment!$M:$M,Investment!$H:$H,LEFT($P204,30)&amp;"*"),),)</f>
        <v/>
      </c>
      <c r="O204" s="287" t="str">
        <f>IF($P204&lt;&gt;"",IF(MAXIFS(Investment!$AI:$AI,Investment!$H:$H,LEFT($P204,30)&amp;"*"),MAXIFS(Investment!$AI:$AI,Investment!$H:$H,LEFT($P204,30)&amp;"*"),),)</f>
        <v/>
      </c>
      <c r="P204" s="283"/>
      <c r="Q204" s="284"/>
      <c r="R204" s="288"/>
    </row>
    <row r="205">
      <c r="A205" s="165">
        <v>43593.0</v>
      </c>
      <c r="B205" s="166" t="s">
        <v>134</v>
      </c>
      <c r="C205" s="166" t="s">
        <v>135</v>
      </c>
      <c r="D205" s="166" t="s">
        <v>301</v>
      </c>
      <c r="E205" s="264"/>
      <c r="F205" s="290"/>
      <c r="G205" s="170">
        <v>-2.35</v>
      </c>
      <c r="H205" s="167" t="s">
        <v>473</v>
      </c>
      <c r="I205" s="171">
        <f t="shared" ref="I205:J205" si="207">IFS(AND($B205&lt;&gt;"",$E205&lt;&gt;""),IF(INDEX(N:N,MATCH($C205,$P:$P,0),1)&lt;&gt;"",$E205*INDEX(N:N,MATCH($C205,$P:$P,0),1)+$G205,""),AND($B205&lt;&gt;"",$D205="COST",$G205&lt;0),$G205,TRUE,)</f>
        <v>-2.35</v>
      </c>
      <c r="J205" s="171">
        <f t="shared" si="207"/>
        <v>-2.35</v>
      </c>
      <c r="K205" s="283" t="str">
        <f t="shared" si="3"/>
        <v>iShares Treasury Bond 20+ UCITS</v>
      </c>
      <c r="L205" s="284">
        <f t="shared" si="4"/>
        <v>53253</v>
      </c>
      <c r="M205" s="285">
        <f t="shared" si="5"/>
        <v>-206464.56</v>
      </c>
      <c r="N205" s="286" t="str">
        <f>IF($P205&lt;&gt;"",IF(MAXIFS(Investment!$M:$M,Investment!$H:$H,LEFT($P205,30)&amp;"*"),MAXIFS(Investment!$M:$M,Investment!$H:$H,LEFT($P205,30)&amp;"*"),),)</f>
        <v/>
      </c>
      <c r="O205" s="287" t="str">
        <f>IF($P205&lt;&gt;"",IF(MAXIFS(Investment!$AI:$AI,Investment!$H:$H,LEFT($P205,30)&amp;"*"),MAXIFS(Investment!$AI:$AI,Investment!$H:$H,LEFT($P205,30)&amp;"*"),),)</f>
        <v/>
      </c>
      <c r="P205" s="283"/>
      <c r="Q205" s="284"/>
      <c r="R205" s="288"/>
    </row>
    <row r="206">
      <c r="A206" s="165">
        <v>43593.0</v>
      </c>
      <c r="B206" s="166" t="s">
        <v>127</v>
      </c>
      <c r="C206" s="166" t="s">
        <v>128</v>
      </c>
      <c r="D206" s="166" t="s">
        <v>280</v>
      </c>
      <c r="E206" s="264">
        <v>-7.0</v>
      </c>
      <c r="F206" s="290">
        <v>176.2</v>
      </c>
      <c r="G206" s="170">
        <v>1233.4</v>
      </c>
      <c r="H206" s="167" t="s">
        <v>668</v>
      </c>
      <c r="I206" s="171">
        <f t="shared" ref="I206:J206" si="208">IFS(AND($B206&lt;&gt;"",$E206&lt;&gt;""),IF(INDEX(N:N,MATCH($C206,$P:$P,0),1)&lt;&gt;"",$E206*INDEX(N:N,MATCH($C206,$P:$P,0),1)+$G206,""),AND($B206&lt;&gt;"",$D206="COST",$G206&lt;0),$G206,TRUE,)</f>
        <v>-63.49</v>
      </c>
      <c r="J206" s="171">
        <f t="shared" si="208"/>
        <v>-4.144823529</v>
      </c>
      <c r="K206" s="283" t="str">
        <f t="shared" si="3"/>
        <v>iShares Treasury Bond 7-10 UCITS</v>
      </c>
      <c r="L206" s="284">
        <f t="shared" si="4"/>
        <v>547</v>
      </c>
      <c r="M206" s="285">
        <f t="shared" si="5"/>
        <v>-81771.76</v>
      </c>
      <c r="N206" s="286" t="str">
        <f>IF($P206&lt;&gt;"",IF(MAXIFS(Investment!$M:$M,Investment!$H:$H,LEFT($P206,30)&amp;"*"),MAXIFS(Investment!$M:$M,Investment!$H:$H,LEFT($P206,30)&amp;"*"),),)</f>
        <v/>
      </c>
      <c r="O206" s="287" t="str">
        <f>IF($P206&lt;&gt;"",IF(MAXIFS(Investment!$AI:$AI,Investment!$H:$H,LEFT($P206,30)&amp;"*"),MAXIFS(Investment!$AI:$AI,Investment!$H:$H,LEFT($P206,30)&amp;"*"),),)</f>
        <v/>
      </c>
      <c r="P206" s="283"/>
      <c r="Q206" s="284"/>
      <c r="R206" s="288"/>
    </row>
    <row r="207">
      <c r="A207" s="165">
        <v>43593.0</v>
      </c>
      <c r="B207" s="166" t="s">
        <v>134</v>
      </c>
      <c r="C207" s="166" t="s">
        <v>135</v>
      </c>
      <c r="D207" s="166" t="s">
        <v>280</v>
      </c>
      <c r="E207" s="264">
        <v>-388.0</v>
      </c>
      <c r="F207" s="290">
        <v>4.211</v>
      </c>
      <c r="G207" s="170">
        <v>1633.87</v>
      </c>
      <c r="H207" s="167" t="s">
        <v>669</v>
      </c>
      <c r="I207" s="171">
        <f t="shared" ref="I207:J207" si="209">IFS(AND($B207&lt;&gt;"",$E207&lt;&gt;""),IF(INDEX(N:N,MATCH($C207,$P:$P,0),1)&lt;&gt;"",$E207*INDEX(N:N,MATCH($C207,$P:$P,0),1)+$G207,""),AND($B207&lt;&gt;"",$D207="COST",$G207&lt;0),$G207,TRUE,)</f>
        <v>-157.138</v>
      </c>
      <c r="J207" s="171">
        <f t="shared" si="209"/>
        <v>-41.29679608</v>
      </c>
      <c r="K207" s="283" t="str">
        <f t="shared" si="3"/>
        <v>iShares Treasury Bond 20+ UCITS</v>
      </c>
      <c r="L207" s="284">
        <f t="shared" si="4"/>
        <v>53253</v>
      </c>
      <c r="M207" s="285">
        <f t="shared" si="5"/>
        <v>-206464.56</v>
      </c>
      <c r="N207" s="286" t="str">
        <f>IF($P207&lt;&gt;"",IF(MAXIFS(Investment!$M:$M,Investment!$H:$H,LEFT($P207,30)&amp;"*"),MAXIFS(Investment!$M:$M,Investment!$H:$H,LEFT($P207,30)&amp;"*"),),)</f>
        <v/>
      </c>
      <c r="O207" s="287" t="str">
        <f>IF($P207&lt;&gt;"",IF(MAXIFS(Investment!$AI:$AI,Investment!$H:$H,LEFT($P207,30)&amp;"*"),MAXIFS(Investment!$AI:$AI,Investment!$H:$H,LEFT($P207,30)&amp;"*"),),)</f>
        <v/>
      </c>
      <c r="P207" s="283"/>
      <c r="Q207" s="284"/>
      <c r="R207" s="288"/>
    </row>
    <row r="208">
      <c r="A208" s="165">
        <v>43593.0</v>
      </c>
      <c r="B208" s="166" t="s">
        <v>134</v>
      </c>
      <c r="C208" s="166" t="s">
        <v>135</v>
      </c>
      <c r="D208" s="166" t="s">
        <v>301</v>
      </c>
      <c r="E208" s="264"/>
      <c r="F208" s="290"/>
      <c r="G208" s="170">
        <v>-2.33</v>
      </c>
      <c r="H208" s="167" t="s">
        <v>670</v>
      </c>
      <c r="I208" s="171">
        <f t="shared" ref="I208:J208" si="210">IFS(AND($B208&lt;&gt;"",$E208&lt;&gt;""),IF(INDEX(N:N,MATCH($C208,$P:$P,0),1)&lt;&gt;"",$E208*INDEX(N:N,MATCH($C208,$P:$P,0),1)+$G208,""),AND($B208&lt;&gt;"",$D208="COST",$G208&lt;0),$G208,TRUE,)</f>
        <v>-2.33</v>
      </c>
      <c r="J208" s="171">
        <f t="shared" si="210"/>
        <v>-2.33</v>
      </c>
      <c r="K208" s="283" t="str">
        <f t="shared" si="3"/>
        <v>iShares Treasury Bond 20+ UCITS</v>
      </c>
      <c r="L208" s="284">
        <f t="shared" si="4"/>
        <v>53253</v>
      </c>
      <c r="M208" s="285">
        <f t="shared" si="5"/>
        <v>-206464.56</v>
      </c>
      <c r="N208" s="286" t="str">
        <f>IF($P208&lt;&gt;"",IF(MAXIFS(Investment!$M:$M,Investment!$H:$H,LEFT($P208,30)&amp;"*"),MAXIFS(Investment!$M:$M,Investment!$H:$H,LEFT($P208,30)&amp;"*"),),)</f>
        <v/>
      </c>
      <c r="O208" s="287" t="str">
        <f>IF($P208&lt;&gt;"",IF(MAXIFS(Investment!$AI:$AI,Investment!$H:$H,LEFT($P208,30)&amp;"*"),MAXIFS(Investment!$AI:$AI,Investment!$H:$H,LEFT($P208,30)&amp;"*"),),)</f>
        <v/>
      </c>
      <c r="P208" s="283"/>
      <c r="Q208" s="284"/>
      <c r="R208" s="288"/>
    </row>
    <row r="209">
      <c r="A209" s="165">
        <v>43592.0</v>
      </c>
      <c r="B209" s="166" t="s">
        <v>134</v>
      </c>
      <c r="C209" s="166" t="s">
        <v>135</v>
      </c>
      <c r="D209" s="166" t="s">
        <v>280</v>
      </c>
      <c r="E209" s="264">
        <v>-277.0</v>
      </c>
      <c r="F209" s="290">
        <v>4.198</v>
      </c>
      <c r="G209" s="170">
        <v>1162.85</v>
      </c>
      <c r="H209" s="167" t="s">
        <v>671</v>
      </c>
      <c r="I209" s="171">
        <f t="shared" ref="I209:J209" si="211">IFS(AND($B209&lt;&gt;"",$E209&lt;&gt;""),IF(INDEX(N:N,MATCH($C209,$P:$P,0),1)&lt;&gt;"",$E209*INDEX(N:N,MATCH($C209,$P:$P,0),1)+$G209,""),AND($B209&lt;&gt;"",$D209="COST",$G209&lt;0),$G209,TRUE,)</f>
        <v>-115.782</v>
      </c>
      <c r="J209" s="171">
        <f t="shared" si="211"/>
        <v>-33.08093431</v>
      </c>
      <c r="K209" s="283" t="str">
        <f t="shared" si="3"/>
        <v>iShares Treasury Bond 20+ UCITS</v>
      </c>
      <c r="L209" s="284">
        <f t="shared" si="4"/>
        <v>53253</v>
      </c>
      <c r="M209" s="285">
        <f t="shared" si="5"/>
        <v>-206464.56</v>
      </c>
      <c r="N209" s="286" t="str">
        <f>IF($P209&lt;&gt;"",IF(MAXIFS(Investment!$M:$M,Investment!$H:$H,LEFT($P209,30)&amp;"*"),MAXIFS(Investment!$M:$M,Investment!$H:$H,LEFT($P209,30)&amp;"*"),),)</f>
        <v/>
      </c>
      <c r="O209" s="287" t="str">
        <f>IF($P209&lt;&gt;"",IF(MAXIFS(Investment!$AI:$AI,Investment!$H:$H,LEFT($P209,30)&amp;"*"),MAXIFS(Investment!$AI:$AI,Investment!$H:$H,LEFT($P209,30)&amp;"*"),),)</f>
        <v/>
      </c>
      <c r="P209" s="283"/>
      <c r="Q209" s="284"/>
      <c r="R209" s="288"/>
    </row>
    <row r="210">
      <c r="A210" s="165">
        <v>43592.0</v>
      </c>
      <c r="B210" s="166" t="s">
        <v>134</v>
      </c>
      <c r="C210" s="166" t="s">
        <v>135</v>
      </c>
      <c r="D210" s="166" t="s">
        <v>301</v>
      </c>
      <c r="E210" s="264"/>
      <c r="F210" s="290"/>
      <c r="G210" s="170">
        <v>-2.23</v>
      </c>
      <c r="H210" s="167" t="s">
        <v>672</v>
      </c>
      <c r="I210" s="171">
        <f t="shared" ref="I210:J210" si="212">IFS(AND($B210&lt;&gt;"",$E210&lt;&gt;""),IF(INDEX(N:N,MATCH($C210,$P:$P,0),1)&lt;&gt;"",$E210*INDEX(N:N,MATCH($C210,$P:$P,0),1)+$G210,""),AND($B210&lt;&gt;"",$D210="COST",$G210&lt;0),$G210,TRUE,)</f>
        <v>-2.23</v>
      </c>
      <c r="J210" s="171">
        <f t="shared" si="212"/>
        <v>-2.23</v>
      </c>
      <c r="K210" s="283" t="str">
        <f t="shared" si="3"/>
        <v>iShares Treasury Bond 20+ UCITS</v>
      </c>
      <c r="L210" s="284">
        <f t="shared" si="4"/>
        <v>53253</v>
      </c>
      <c r="M210" s="285">
        <f t="shared" si="5"/>
        <v>-206464.56</v>
      </c>
      <c r="N210" s="286" t="str">
        <f>IF($P210&lt;&gt;"",IF(MAXIFS(Investment!$M:$M,Investment!$H:$H,LEFT($P210,30)&amp;"*"),MAXIFS(Investment!$M:$M,Investment!$H:$H,LEFT($P210,30)&amp;"*"),),)</f>
        <v/>
      </c>
      <c r="O210" s="287" t="str">
        <f>IF($P210&lt;&gt;"",IF(MAXIFS(Investment!$AI:$AI,Investment!$H:$H,LEFT($P210,30)&amp;"*"),MAXIFS(Investment!$AI:$AI,Investment!$H:$H,LEFT($P210,30)&amp;"*"),),)</f>
        <v/>
      </c>
      <c r="P210" s="283"/>
      <c r="Q210" s="284"/>
      <c r="R210" s="288"/>
    </row>
    <row r="211">
      <c r="A211" s="165">
        <v>43591.0</v>
      </c>
      <c r="B211" s="166" t="s">
        <v>127</v>
      </c>
      <c r="C211" s="166" t="s">
        <v>128</v>
      </c>
      <c r="D211" s="166" t="s">
        <v>280</v>
      </c>
      <c r="E211" s="264">
        <v>-6.0</v>
      </c>
      <c r="F211" s="290">
        <v>175.51</v>
      </c>
      <c r="G211" s="170">
        <v>1053.06</v>
      </c>
      <c r="H211" s="167" t="s">
        <v>673</v>
      </c>
      <c r="I211" s="171">
        <f t="shared" ref="I211:J211" si="213">IFS(AND($B211&lt;&gt;"",$E211&lt;&gt;""),IF(INDEX(N:N,MATCH($C211,$P:$P,0),1)&lt;&gt;"",$E211*INDEX(N:N,MATCH($C211,$P:$P,0),1)+$G211,""),AND($B211&lt;&gt;"",$D211="COST",$G211&lt;0),$G211,TRUE,)</f>
        <v>-58.56</v>
      </c>
      <c r="J211" s="171">
        <f t="shared" si="213"/>
        <v>-7.692705882</v>
      </c>
      <c r="K211" s="283" t="str">
        <f t="shared" si="3"/>
        <v>iShares Treasury Bond 7-10 UCITS</v>
      </c>
      <c r="L211" s="284">
        <f t="shared" si="4"/>
        <v>547</v>
      </c>
      <c r="M211" s="285">
        <f t="shared" si="5"/>
        <v>-81771.76</v>
      </c>
      <c r="N211" s="286" t="str">
        <f>IF($P211&lt;&gt;"",IF(MAXIFS(Investment!$M:$M,Investment!$H:$H,LEFT($P211,30)&amp;"*"),MAXIFS(Investment!$M:$M,Investment!$H:$H,LEFT($P211,30)&amp;"*"),),)</f>
        <v/>
      </c>
      <c r="O211" s="287" t="str">
        <f>IF($P211&lt;&gt;"",IF(MAXIFS(Investment!$AI:$AI,Investment!$H:$H,LEFT($P211,30)&amp;"*"),MAXIFS(Investment!$AI:$AI,Investment!$H:$H,LEFT($P211,30)&amp;"*"),),)</f>
        <v/>
      </c>
      <c r="P211" s="283"/>
      <c r="Q211" s="284"/>
      <c r="R211" s="288"/>
    </row>
    <row r="212">
      <c r="A212" s="165">
        <v>43591.0</v>
      </c>
      <c r="B212" s="166" t="s">
        <v>134</v>
      </c>
      <c r="C212" s="166" t="s">
        <v>135</v>
      </c>
      <c r="D212" s="166" t="s">
        <v>280</v>
      </c>
      <c r="E212" s="264">
        <v>-925.0</v>
      </c>
      <c r="F212" s="290">
        <v>4.1872</v>
      </c>
      <c r="G212" s="170">
        <v>3873.16</v>
      </c>
      <c r="H212" s="167" t="s">
        <v>674</v>
      </c>
      <c r="I212" s="171">
        <f t="shared" ref="I212:J212" si="214">IFS(AND($B212&lt;&gt;"",$E212&lt;&gt;""),IF(INDEX(N:N,MATCH($C212,$P:$P,0),1)&lt;&gt;"",$E212*INDEX(N:N,MATCH($C212,$P:$P,0),1)+$G212,""),AND($B212&lt;&gt;"",$D212="COST",$G212&lt;0),$G212,TRUE,)</f>
        <v>-396.64</v>
      </c>
      <c r="J212" s="171">
        <f t="shared" si="214"/>
        <v>-120.4721814</v>
      </c>
      <c r="K212" s="283" t="str">
        <f t="shared" si="3"/>
        <v>iShares Treasury Bond 20+ UCITS</v>
      </c>
      <c r="L212" s="284">
        <f t="shared" si="4"/>
        <v>53253</v>
      </c>
      <c r="M212" s="285">
        <f t="shared" si="5"/>
        <v>-206464.56</v>
      </c>
      <c r="N212" s="286" t="str">
        <f>IF($P212&lt;&gt;"",IF(MAXIFS(Investment!$M:$M,Investment!$H:$H,LEFT($P212,30)&amp;"*"),MAXIFS(Investment!$M:$M,Investment!$H:$H,LEFT($P212,30)&amp;"*"),),)</f>
        <v/>
      </c>
      <c r="O212" s="287" t="str">
        <f>IF($P212&lt;&gt;"",IF(MAXIFS(Investment!$AI:$AI,Investment!$H:$H,LEFT($P212,30)&amp;"*"),MAXIFS(Investment!$AI:$AI,Investment!$H:$H,LEFT($P212,30)&amp;"*"),),)</f>
        <v/>
      </c>
      <c r="P212" s="283"/>
      <c r="Q212" s="284"/>
      <c r="R212" s="288"/>
    </row>
    <row r="213">
      <c r="A213" s="165">
        <v>43591.0</v>
      </c>
      <c r="B213" s="166" t="s">
        <v>134</v>
      </c>
      <c r="C213" s="166" t="s">
        <v>135</v>
      </c>
      <c r="D213" s="166" t="s">
        <v>301</v>
      </c>
      <c r="E213" s="264"/>
      <c r="F213" s="290"/>
      <c r="G213" s="170">
        <v>-2.77</v>
      </c>
      <c r="H213" s="167" t="s">
        <v>675</v>
      </c>
      <c r="I213" s="171">
        <f t="shared" ref="I213:J213" si="215">IFS(AND($B213&lt;&gt;"",$E213&lt;&gt;""),IF(INDEX(N:N,MATCH($C213,$P:$P,0),1)&lt;&gt;"",$E213*INDEX(N:N,MATCH($C213,$P:$P,0),1)+$G213,""),AND($B213&lt;&gt;"",$D213="COST",$G213&lt;0),$G213,TRUE,)</f>
        <v>-2.77</v>
      </c>
      <c r="J213" s="171">
        <f t="shared" si="215"/>
        <v>-2.77</v>
      </c>
      <c r="K213" s="283" t="str">
        <f t="shared" si="3"/>
        <v>iShares Treasury Bond 20+ UCITS</v>
      </c>
      <c r="L213" s="284">
        <f t="shared" si="4"/>
        <v>53253</v>
      </c>
      <c r="M213" s="285">
        <f t="shared" si="5"/>
        <v>-206464.56</v>
      </c>
      <c r="N213" s="286" t="str">
        <f>IF($P213&lt;&gt;"",IF(MAXIFS(Investment!$M:$M,Investment!$H:$H,LEFT($P213,30)&amp;"*"),MAXIFS(Investment!$M:$M,Investment!$H:$H,LEFT($P213,30)&amp;"*"),),)</f>
        <v/>
      </c>
      <c r="O213" s="287" t="str">
        <f>IF($P213&lt;&gt;"",IF(MAXIFS(Investment!$AI:$AI,Investment!$H:$H,LEFT($P213,30)&amp;"*"),MAXIFS(Investment!$AI:$AI,Investment!$H:$H,LEFT($P213,30)&amp;"*"),),)</f>
        <v/>
      </c>
      <c r="P213" s="283"/>
      <c r="Q213" s="284"/>
      <c r="R213" s="288"/>
    </row>
    <row r="214">
      <c r="A214" s="165">
        <v>43588.0</v>
      </c>
      <c r="B214" s="166"/>
      <c r="C214" s="166"/>
      <c r="D214" s="166" t="s">
        <v>299</v>
      </c>
      <c r="E214" s="264"/>
      <c r="F214" s="290"/>
      <c r="G214" s="170">
        <v>-500.0</v>
      </c>
      <c r="H214" s="167" t="s">
        <v>620</v>
      </c>
      <c r="I214" s="171" t="str">
        <f t="shared" ref="I214:J214" si="216">IFS(AND($B214&lt;&gt;"",$E214&lt;&gt;""),IF(INDEX(N:N,MATCH($C214,$P:$P,0),1)&lt;&gt;"",$E214*INDEX(N:N,MATCH($C214,$P:$P,0),1)+$G214,""),AND($B214&lt;&gt;"",$D214="COST",$G214&lt;0),$G214,TRUE,)</f>
        <v/>
      </c>
      <c r="J214" s="171" t="str">
        <f t="shared" si="216"/>
        <v/>
      </c>
      <c r="K214" s="283" t="str">
        <f t="shared" si="3"/>
        <v/>
      </c>
      <c r="L214" s="284" t="str">
        <f t="shared" si="4"/>
        <v/>
      </c>
      <c r="M214" s="285" t="str">
        <f t="shared" si="5"/>
        <v/>
      </c>
      <c r="N214" s="286" t="str">
        <f>IF($P214&lt;&gt;"",IF(MAXIFS(Investment!$M:$M,Investment!$H:$H,LEFT($P214,30)&amp;"*"),MAXIFS(Investment!$M:$M,Investment!$H:$H,LEFT($P214,30)&amp;"*"),),)</f>
        <v/>
      </c>
      <c r="O214" s="287" t="str">
        <f>IF($P214&lt;&gt;"",IF(MAXIFS(Investment!$AI:$AI,Investment!$H:$H,LEFT($P214,30)&amp;"*"),MAXIFS(Investment!$AI:$AI,Investment!$H:$H,LEFT($P214,30)&amp;"*"),),)</f>
        <v/>
      </c>
      <c r="P214" s="283"/>
      <c r="Q214" s="284"/>
      <c r="R214" s="288"/>
    </row>
    <row r="215">
      <c r="A215" s="165">
        <v>43588.0</v>
      </c>
      <c r="B215" s="166" t="s">
        <v>134</v>
      </c>
      <c r="C215" s="166" t="s">
        <v>135</v>
      </c>
      <c r="D215" s="166" t="s">
        <v>280</v>
      </c>
      <c r="E215" s="264">
        <v>-295.0</v>
      </c>
      <c r="F215" s="290">
        <v>4.1686</v>
      </c>
      <c r="G215" s="170">
        <v>1229.74</v>
      </c>
      <c r="H215" s="167" t="s">
        <v>676</v>
      </c>
      <c r="I215" s="171">
        <f t="shared" ref="I215:J215" si="217">IFS(AND($B215&lt;&gt;"",$E215&lt;&gt;""),IF(INDEX(N:N,MATCH($C215,$P:$P,0),1)&lt;&gt;"",$E215*INDEX(N:N,MATCH($C215,$P:$P,0),1)+$G215,""),AND($B215&lt;&gt;"",$D215="COST",$G215&lt;0),$G215,TRUE,)</f>
        <v>-131.98</v>
      </c>
      <c r="J215" s="171">
        <f t="shared" si="217"/>
        <v>-43.90485784</v>
      </c>
      <c r="K215" s="283" t="str">
        <f t="shared" si="3"/>
        <v>iShares Treasury Bond 20+ UCITS</v>
      </c>
      <c r="L215" s="284">
        <f t="shared" si="4"/>
        <v>53253</v>
      </c>
      <c r="M215" s="285">
        <f t="shared" si="5"/>
        <v>-206464.56</v>
      </c>
      <c r="N215" s="286" t="str">
        <f>IF($P215&lt;&gt;"",IF(MAXIFS(Investment!$M:$M,Investment!$H:$H,LEFT($P215,30)&amp;"*"),MAXIFS(Investment!$M:$M,Investment!$H:$H,LEFT($P215,30)&amp;"*"),),)</f>
        <v/>
      </c>
      <c r="O215" s="287" t="str">
        <f>IF($P215&lt;&gt;"",IF(MAXIFS(Investment!$AI:$AI,Investment!$H:$H,LEFT($P215,30)&amp;"*"),MAXIFS(Investment!$AI:$AI,Investment!$H:$H,LEFT($P215,30)&amp;"*"),),)</f>
        <v/>
      </c>
      <c r="P215" s="283"/>
      <c r="Q215" s="284"/>
      <c r="R215" s="288"/>
    </row>
    <row r="216">
      <c r="A216" s="165">
        <v>43588.0</v>
      </c>
      <c r="B216" s="166" t="s">
        <v>134</v>
      </c>
      <c r="C216" s="166" t="s">
        <v>135</v>
      </c>
      <c r="D216" s="166" t="s">
        <v>301</v>
      </c>
      <c r="E216" s="264"/>
      <c r="F216" s="290"/>
      <c r="G216" s="170">
        <v>-2.25</v>
      </c>
      <c r="H216" s="167" t="s">
        <v>662</v>
      </c>
      <c r="I216" s="171">
        <f t="shared" ref="I216:J216" si="218">IFS(AND($B216&lt;&gt;"",$E216&lt;&gt;""),IF(INDEX(N:N,MATCH($C216,$P:$P,0),1)&lt;&gt;"",$E216*INDEX(N:N,MATCH($C216,$P:$P,0),1)+$G216,""),AND($B216&lt;&gt;"",$D216="COST",$G216&lt;0),$G216,TRUE,)</f>
        <v>-2.25</v>
      </c>
      <c r="J216" s="171">
        <f t="shared" si="218"/>
        <v>-2.25</v>
      </c>
      <c r="K216" s="283" t="str">
        <f t="shared" si="3"/>
        <v>iShares Treasury Bond 20+ UCITS</v>
      </c>
      <c r="L216" s="284">
        <f t="shared" si="4"/>
        <v>53253</v>
      </c>
      <c r="M216" s="285">
        <f t="shared" si="5"/>
        <v>-206464.56</v>
      </c>
      <c r="N216" s="286" t="str">
        <f>IF($P216&lt;&gt;"",IF(MAXIFS(Investment!$M:$M,Investment!$H:$H,LEFT($P216,30)&amp;"*"),MAXIFS(Investment!$M:$M,Investment!$H:$H,LEFT($P216,30)&amp;"*"),),)</f>
        <v/>
      </c>
      <c r="O216" s="287" t="str">
        <f>IF($P216&lt;&gt;"",IF(MAXIFS(Investment!$AI:$AI,Investment!$H:$H,LEFT($P216,30)&amp;"*"),MAXIFS(Investment!$AI:$AI,Investment!$H:$H,LEFT($P216,30)&amp;"*"),),)</f>
        <v/>
      </c>
      <c r="P216" s="283"/>
      <c r="Q216" s="284"/>
      <c r="R216" s="288"/>
    </row>
    <row r="217">
      <c r="A217" s="165">
        <v>43585.0</v>
      </c>
      <c r="B217" s="166"/>
      <c r="C217" s="166"/>
      <c r="D217" s="166" t="s">
        <v>301</v>
      </c>
      <c r="E217" s="264"/>
      <c r="F217" s="290"/>
      <c r="G217" s="170">
        <v>-547.92</v>
      </c>
      <c r="H217" s="167" t="s">
        <v>677</v>
      </c>
      <c r="I217" s="171" t="str">
        <f t="shared" ref="I217:J217" si="219">IFS(AND($B217&lt;&gt;"",$E217&lt;&gt;""),IF(INDEX(N:N,MATCH($C217,$P:$P,0),1)&lt;&gt;"",$E217*INDEX(N:N,MATCH($C217,$P:$P,0),1)+$G217,""),AND($B217&lt;&gt;"",$D217="COST",$G217&lt;0),$G217,TRUE,)</f>
        <v/>
      </c>
      <c r="J217" s="171" t="str">
        <f t="shared" si="219"/>
        <v/>
      </c>
      <c r="K217" s="283" t="str">
        <f t="shared" si="3"/>
        <v/>
      </c>
      <c r="L217" s="284" t="str">
        <f t="shared" si="4"/>
        <v/>
      </c>
      <c r="M217" s="285" t="str">
        <f t="shared" si="5"/>
        <v/>
      </c>
      <c r="N217" s="286" t="str">
        <f>IF($P217&lt;&gt;"",IF(MAXIFS(Investment!$M:$M,Investment!$H:$H,LEFT($P217,30)&amp;"*"),MAXIFS(Investment!$M:$M,Investment!$H:$H,LEFT($P217,30)&amp;"*"),),)</f>
        <v/>
      </c>
      <c r="O217" s="287" t="str">
        <f>IF($P217&lt;&gt;"",IF(MAXIFS(Investment!$AI:$AI,Investment!$H:$H,LEFT($P217,30)&amp;"*"),MAXIFS(Investment!$AI:$AI,Investment!$H:$H,LEFT($P217,30)&amp;"*"),),)</f>
        <v/>
      </c>
      <c r="P217" s="283"/>
      <c r="Q217" s="284"/>
      <c r="R217" s="288"/>
    </row>
    <row r="218">
      <c r="A218" s="165">
        <v>43585.0</v>
      </c>
      <c r="B218" s="166"/>
      <c r="C218" s="166"/>
      <c r="D218" s="166" t="s">
        <v>301</v>
      </c>
      <c r="E218" s="264"/>
      <c r="F218" s="290"/>
      <c r="G218" s="170">
        <v>-2.5</v>
      </c>
      <c r="H218" s="167" t="s">
        <v>678</v>
      </c>
      <c r="I218" s="171" t="str">
        <f t="shared" ref="I218:J218" si="220">IFS(AND($B218&lt;&gt;"",$E218&lt;&gt;""),IF(INDEX(N:N,MATCH($C218,$P:$P,0),1)&lt;&gt;"",$E218*INDEX(N:N,MATCH($C218,$P:$P,0),1)+$G218,""),AND($B218&lt;&gt;"",$D218="COST",$G218&lt;0),$G218,TRUE,)</f>
        <v/>
      </c>
      <c r="J218" s="171" t="str">
        <f t="shared" si="220"/>
        <v/>
      </c>
      <c r="K218" s="283" t="str">
        <f t="shared" si="3"/>
        <v/>
      </c>
      <c r="L218" s="284" t="str">
        <f t="shared" si="4"/>
        <v/>
      </c>
      <c r="M218" s="285" t="str">
        <f t="shared" si="5"/>
        <v/>
      </c>
      <c r="N218" s="286" t="str">
        <f>IF($P218&lt;&gt;"",IF(MAXIFS(Investment!$M:$M,Investment!$H:$H,LEFT($P218,30)&amp;"*"),MAXIFS(Investment!$M:$M,Investment!$H:$H,LEFT($P218,30)&amp;"*"),),)</f>
        <v/>
      </c>
      <c r="O218" s="287" t="str">
        <f>IF($P218&lt;&gt;"",IF(MAXIFS(Investment!$AI:$AI,Investment!$H:$H,LEFT($P218,30)&amp;"*"),MAXIFS(Investment!$AI:$AI,Investment!$H:$H,LEFT($P218,30)&amp;"*"),),)</f>
        <v/>
      </c>
      <c r="P218" s="283"/>
      <c r="Q218" s="284"/>
      <c r="R218" s="288"/>
    </row>
    <row r="219">
      <c r="A219" s="165">
        <v>43584.0</v>
      </c>
      <c r="B219" s="166" t="s">
        <v>138</v>
      </c>
      <c r="C219" s="166" t="s">
        <v>139</v>
      </c>
      <c r="D219" s="166" t="s">
        <v>280</v>
      </c>
      <c r="E219" s="264">
        <v>-25.0</v>
      </c>
      <c r="F219" s="290">
        <v>50.092</v>
      </c>
      <c r="G219" s="170">
        <v>1252.3</v>
      </c>
      <c r="H219" s="167" t="s">
        <v>679</v>
      </c>
      <c r="I219" s="171">
        <f t="shared" ref="I219:J219" si="221">IFS(AND($B219&lt;&gt;"",$E219&lt;&gt;""),IF(INDEX(N:N,MATCH($C219,$P:$P,0),1)&lt;&gt;"",$E219*INDEX(N:N,MATCH($C219,$P:$P,0),1)+$G219,""),AND($B219&lt;&gt;"",$D219="COST",$G219&lt;0),$G219,TRUE,)</f>
        <v>-79.825</v>
      </c>
      <c r="J219" s="171">
        <f t="shared" si="221"/>
        <v>48.85539216</v>
      </c>
      <c r="K219" s="283" t="str">
        <f t="shared" si="3"/>
        <v>Vanguard S&amp;P 500 UCITS</v>
      </c>
      <c r="L219" s="284">
        <f t="shared" si="4"/>
        <v>3715</v>
      </c>
      <c r="M219" s="285">
        <f t="shared" si="5"/>
        <v>-151722.66</v>
      </c>
      <c r="N219" s="286" t="str">
        <f>IF($P219&lt;&gt;"",IF(MAXIFS(Investment!$M:$M,Investment!$H:$H,LEFT($P219,30)&amp;"*"),MAXIFS(Investment!$M:$M,Investment!$H:$H,LEFT($P219,30)&amp;"*"),),)</f>
        <v/>
      </c>
      <c r="O219" s="287" t="str">
        <f>IF($P219&lt;&gt;"",IF(MAXIFS(Investment!$AI:$AI,Investment!$H:$H,LEFT($P219,30)&amp;"*"),MAXIFS(Investment!$AI:$AI,Investment!$H:$H,LEFT($P219,30)&amp;"*"),),)</f>
        <v/>
      </c>
      <c r="P219" s="283"/>
      <c r="Q219" s="284"/>
      <c r="R219" s="288"/>
    </row>
    <row r="220">
      <c r="A220" s="165">
        <v>43580.0</v>
      </c>
      <c r="B220" s="166" t="s">
        <v>134</v>
      </c>
      <c r="C220" s="166" t="s">
        <v>135</v>
      </c>
      <c r="D220" s="166" t="s">
        <v>280</v>
      </c>
      <c r="E220" s="264">
        <v>-544.0</v>
      </c>
      <c r="F220" s="290">
        <v>4.1629</v>
      </c>
      <c r="G220" s="170">
        <v>2264.67</v>
      </c>
      <c r="H220" s="167" t="s">
        <v>680</v>
      </c>
      <c r="I220" s="171">
        <f t="shared" ref="I220:J220" si="222">IFS(AND($B220&lt;&gt;"",$E220&lt;&gt;""),IF(INDEX(N:N,MATCH($C220,$P:$P,0),1)&lt;&gt;"",$E220*INDEX(N:N,MATCH($C220,$P:$P,0),1)+$G220,""),AND($B220&lt;&gt;"",$D220="COST",$G220&lt;0),$G220,TRUE,)</f>
        <v>-246.434</v>
      </c>
      <c r="J220" s="171">
        <f t="shared" si="222"/>
        <v>-84.01746667</v>
      </c>
      <c r="K220" s="283" t="str">
        <f t="shared" si="3"/>
        <v>iShares Treasury Bond 20+ UCITS</v>
      </c>
      <c r="L220" s="284">
        <f t="shared" si="4"/>
        <v>53253</v>
      </c>
      <c r="M220" s="285">
        <f t="shared" si="5"/>
        <v>-206464.56</v>
      </c>
      <c r="N220" s="286" t="str">
        <f>IF($P220&lt;&gt;"",IF(MAXIFS(Investment!$M:$M,Investment!$H:$H,LEFT($P220,30)&amp;"*"),MAXIFS(Investment!$M:$M,Investment!$H:$H,LEFT($P220,30)&amp;"*"),),)</f>
        <v/>
      </c>
      <c r="O220" s="287" t="str">
        <f>IF($P220&lt;&gt;"",IF(MAXIFS(Investment!$AI:$AI,Investment!$H:$H,LEFT($P220,30)&amp;"*"),MAXIFS(Investment!$AI:$AI,Investment!$H:$H,LEFT($P220,30)&amp;"*"),),)</f>
        <v/>
      </c>
      <c r="P220" s="283"/>
      <c r="Q220" s="284"/>
      <c r="R220" s="288"/>
    </row>
    <row r="221">
      <c r="A221" s="165">
        <v>43580.0</v>
      </c>
      <c r="B221" s="166" t="s">
        <v>134</v>
      </c>
      <c r="C221" s="166" t="s">
        <v>135</v>
      </c>
      <c r="D221" s="166" t="s">
        <v>301</v>
      </c>
      <c r="E221" s="264"/>
      <c r="F221" s="290"/>
      <c r="G221" s="170">
        <v>-2.45</v>
      </c>
      <c r="H221" s="167" t="s">
        <v>590</v>
      </c>
      <c r="I221" s="171">
        <f t="shared" ref="I221:J221" si="223">IFS(AND($B221&lt;&gt;"",$E221&lt;&gt;""),IF(INDEX(N:N,MATCH($C221,$P:$P,0),1)&lt;&gt;"",$E221*INDEX(N:N,MATCH($C221,$P:$P,0),1)+$G221,""),AND($B221&lt;&gt;"",$D221="COST",$G221&lt;0),$G221,TRUE,)</f>
        <v>-2.45</v>
      </c>
      <c r="J221" s="171">
        <f t="shared" si="223"/>
        <v>-2.45</v>
      </c>
      <c r="K221" s="283" t="str">
        <f t="shared" si="3"/>
        <v>iShares Treasury Bond 20+ UCITS</v>
      </c>
      <c r="L221" s="284">
        <f t="shared" si="4"/>
        <v>53253</v>
      </c>
      <c r="M221" s="285">
        <f t="shared" si="5"/>
        <v>-206464.56</v>
      </c>
      <c r="N221" s="286" t="str">
        <f>IF($P221&lt;&gt;"",IF(MAXIFS(Investment!$M:$M,Investment!$H:$H,LEFT($P221,30)&amp;"*"),MAXIFS(Investment!$M:$M,Investment!$H:$H,LEFT($P221,30)&amp;"*"),),)</f>
        <v/>
      </c>
      <c r="O221" s="287" t="str">
        <f>IF($P221&lt;&gt;"",IF(MAXIFS(Investment!$AI:$AI,Investment!$H:$H,LEFT($P221,30)&amp;"*"),MAXIFS(Investment!$AI:$AI,Investment!$H:$H,LEFT($P221,30)&amp;"*"),),)</f>
        <v/>
      </c>
      <c r="P221" s="283"/>
      <c r="Q221" s="284"/>
      <c r="R221" s="288"/>
    </row>
    <row r="222">
      <c r="A222" s="165">
        <v>43579.0</v>
      </c>
      <c r="B222" s="166" t="s">
        <v>127</v>
      </c>
      <c r="C222" s="166" t="s">
        <v>128</v>
      </c>
      <c r="D222" s="166" t="s">
        <v>280</v>
      </c>
      <c r="E222" s="264">
        <v>-6.0</v>
      </c>
      <c r="F222" s="290">
        <v>175.0</v>
      </c>
      <c r="G222" s="170">
        <v>1050.0</v>
      </c>
      <c r="H222" s="167" t="s">
        <v>681</v>
      </c>
      <c r="I222" s="171">
        <f t="shared" ref="I222:J222" si="224">IFS(AND($B222&lt;&gt;"",$E222&lt;&gt;""),IF(INDEX(N:N,MATCH($C222,$P:$P,0),1)&lt;&gt;"",$E222*INDEX(N:N,MATCH($C222,$P:$P,0),1)+$G222,""),AND($B222&lt;&gt;"",$D222="COST",$G222&lt;0),$G222,TRUE,)</f>
        <v>-61.62</v>
      </c>
      <c r="J222" s="171">
        <f t="shared" si="224"/>
        <v>-10.75270588</v>
      </c>
      <c r="K222" s="283" t="str">
        <f t="shared" si="3"/>
        <v>iShares Treasury Bond 7-10 UCITS</v>
      </c>
      <c r="L222" s="284">
        <f t="shared" si="4"/>
        <v>547</v>
      </c>
      <c r="M222" s="285">
        <f t="shared" si="5"/>
        <v>-81771.76</v>
      </c>
      <c r="N222" s="286" t="str">
        <f>IF($P222&lt;&gt;"",IF(MAXIFS(Investment!$M:$M,Investment!$H:$H,LEFT($P222,30)&amp;"*"),MAXIFS(Investment!$M:$M,Investment!$H:$H,LEFT($P222,30)&amp;"*"),),)</f>
        <v/>
      </c>
      <c r="O222" s="287" t="str">
        <f>IF($P222&lt;&gt;"",IF(MAXIFS(Investment!$AI:$AI,Investment!$H:$H,LEFT($P222,30)&amp;"*"),MAXIFS(Investment!$AI:$AI,Investment!$H:$H,LEFT($P222,30)&amp;"*"),),)</f>
        <v/>
      </c>
      <c r="P222" s="283"/>
      <c r="Q222" s="284"/>
      <c r="R222" s="288"/>
    </row>
    <row r="223">
      <c r="A223" s="165">
        <v>43579.0</v>
      </c>
      <c r="B223" s="166" t="s">
        <v>138</v>
      </c>
      <c r="C223" s="166" t="s">
        <v>139</v>
      </c>
      <c r="D223" s="166" t="s">
        <v>280</v>
      </c>
      <c r="E223" s="264">
        <v>-21.0</v>
      </c>
      <c r="F223" s="290">
        <v>49.729</v>
      </c>
      <c r="G223" s="170">
        <v>1044.31</v>
      </c>
      <c r="H223" s="167" t="s">
        <v>682</v>
      </c>
      <c r="I223" s="171">
        <f t="shared" ref="I223:J223" si="225">IFS(AND($B223&lt;&gt;"",$E223&lt;&gt;""),IF(INDEX(N:N,MATCH($C223,$P:$P,0),1)&lt;&gt;"",$E223*INDEX(N:N,MATCH($C223,$P:$P,0),1)+$G223,""),AND($B223&lt;&gt;"",$D223="COST",$G223&lt;0),$G223,TRUE,)</f>
        <v>-74.675</v>
      </c>
      <c r="J223" s="171">
        <f t="shared" si="225"/>
        <v>33.41652941</v>
      </c>
      <c r="K223" s="283" t="str">
        <f t="shared" si="3"/>
        <v>Vanguard S&amp;P 500 UCITS</v>
      </c>
      <c r="L223" s="284">
        <f t="shared" si="4"/>
        <v>3715</v>
      </c>
      <c r="M223" s="285">
        <f t="shared" si="5"/>
        <v>-151722.66</v>
      </c>
      <c r="N223" s="286" t="str">
        <f>IF($P223&lt;&gt;"",IF(MAXIFS(Investment!$M:$M,Investment!$H:$H,LEFT($P223,30)&amp;"*"),MAXIFS(Investment!$M:$M,Investment!$H:$H,LEFT($P223,30)&amp;"*"),),)</f>
        <v/>
      </c>
      <c r="O223" s="287" t="str">
        <f>IF($P223&lt;&gt;"",IF(MAXIFS(Investment!$AI:$AI,Investment!$H:$H,LEFT($P223,30)&amp;"*"),MAXIFS(Investment!$AI:$AI,Investment!$H:$H,LEFT($P223,30)&amp;"*"),),)</f>
        <v/>
      </c>
      <c r="P223" s="283"/>
      <c r="Q223" s="284"/>
      <c r="R223" s="288"/>
    </row>
    <row r="224">
      <c r="A224" s="165">
        <v>43579.0</v>
      </c>
      <c r="B224" s="166" t="s">
        <v>134</v>
      </c>
      <c r="C224" s="166" t="s">
        <v>135</v>
      </c>
      <c r="D224" s="166" t="s">
        <v>280</v>
      </c>
      <c r="E224" s="264">
        <v>-330.0</v>
      </c>
      <c r="F224" s="290">
        <v>4.141</v>
      </c>
      <c r="G224" s="170">
        <v>1366.53</v>
      </c>
      <c r="H224" s="167" t="s">
        <v>683</v>
      </c>
      <c r="I224" s="171">
        <f t="shared" ref="I224:J224" si="226">IFS(AND($B224&lt;&gt;"",$E224&lt;&gt;""),IF(INDEX(N:N,MATCH($C224,$P:$P,0),1)&lt;&gt;"",$E224*INDEX(N:N,MATCH($C224,$P:$P,0),1)+$G224,""),AND($B224&lt;&gt;"",$D224="COST",$G224&lt;0),$G224,TRUE,)</f>
        <v>-156.75</v>
      </c>
      <c r="J224" s="171">
        <f t="shared" si="226"/>
        <v>-58.22526471</v>
      </c>
      <c r="K224" s="283" t="str">
        <f t="shared" si="3"/>
        <v>iShares Treasury Bond 20+ UCITS</v>
      </c>
      <c r="L224" s="284">
        <f t="shared" si="4"/>
        <v>53253</v>
      </c>
      <c r="M224" s="285">
        <f t="shared" si="5"/>
        <v>-206464.56</v>
      </c>
      <c r="N224" s="286" t="str">
        <f>IF($P224&lt;&gt;"",IF(MAXIFS(Investment!$M:$M,Investment!$H:$H,LEFT($P224,30)&amp;"*"),MAXIFS(Investment!$M:$M,Investment!$H:$H,LEFT($P224,30)&amp;"*"),),)</f>
        <v/>
      </c>
      <c r="O224" s="287" t="str">
        <f>IF($P224&lt;&gt;"",IF(MAXIFS(Investment!$AI:$AI,Investment!$H:$H,LEFT($P224,30)&amp;"*"),MAXIFS(Investment!$AI:$AI,Investment!$H:$H,LEFT($P224,30)&amp;"*"),),)</f>
        <v/>
      </c>
      <c r="P224" s="283"/>
      <c r="Q224" s="284"/>
      <c r="R224" s="288"/>
    </row>
    <row r="225">
      <c r="A225" s="165">
        <v>43579.0</v>
      </c>
      <c r="B225" s="166" t="s">
        <v>134</v>
      </c>
      <c r="C225" s="166" t="s">
        <v>135</v>
      </c>
      <c r="D225" s="166" t="s">
        <v>301</v>
      </c>
      <c r="E225" s="264"/>
      <c r="F225" s="290"/>
      <c r="G225" s="170">
        <v>-2.27</v>
      </c>
      <c r="H225" s="167" t="s">
        <v>684</v>
      </c>
      <c r="I225" s="171">
        <f t="shared" ref="I225:J225" si="227">IFS(AND($B225&lt;&gt;"",$E225&lt;&gt;""),IF(INDEX(N:N,MATCH($C225,$P:$P,0),1)&lt;&gt;"",$E225*INDEX(N:N,MATCH($C225,$P:$P,0),1)+$G225,""),AND($B225&lt;&gt;"",$D225="COST",$G225&lt;0),$G225,TRUE,)</f>
        <v>-2.27</v>
      </c>
      <c r="J225" s="171">
        <f t="shared" si="227"/>
        <v>-2.27</v>
      </c>
      <c r="K225" s="283" t="str">
        <f t="shared" si="3"/>
        <v>iShares Treasury Bond 20+ UCITS</v>
      </c>
      <c r="L225" s="284">
        <f t="shared" si="4"/>
        <v>53253</v>
      </c>
      <c r="M225" s="285">
        <f t="shared" si="5"/>
        <v>-206464.56</v>
      </c>
      <c r="N225" s="286" t="str">
        <f>IF($P225&lt;&gt;"",IF(MAXIFS(Investment!$M:$M,Investment!$H:$H,LEFT($P225,30)&amp;"*"),MAXIFS(Investment!$M:$M,Investment!$H:$H,LEFT($P225,30)&amp;"*"),),)</f>
        <v/>
      </c>
      <c r="O225" s="287" t="str">
        <f>IF($P225&lt;&gt;"",IF(MAXIFS(Investment!$AI:$AI,Investment!$H:$H,LEFT($P225,30)&amp;"*"),MAXIFS(Investment!$AI:$AI,Investment!$H:$H,LEFT($P225,30)&amp;"*"),),)</f>
        <v/>
      </c>
      <c r="P225" s="283"/>
      <c r="Q225" s="284"/>
      <c r="R225" s="288"/>
    </row>
    <row r="226">
      <c r="A226" s="165">
        <v>43579.0</v>
      </c>
      <c r="B226" s="166" t="s">
        <v>138</v>
      </c>
      <c r="C226" s="166" t="s">
        <v>139</v>
      </c>
      <c r="D226" s="166" t="s">
        <v>280</v>
      </c>
      <c r="E226" s="264">
        <v>-23.0</v>
      </c>
      <c r="F226" s="290">
        <v>49.6999</v>
      </c>
      <c r="G226" s="170">
        <v>1143.1</v>
      </c>
      <c r="H226" s="167" t="s">
        <v>685</v>
      </c>
      <c r="I226" s="171">
        <f t="shared" ref="I226:J226" si="228">IFS(AND($B226&lt;&gt;"",$E226&lt;&gt;""),IF(INDEX(N:N,MATCH($C226,$P:$P,0),1)&lt;&gt;"",$E226*INDEX(N:N,MATCH($C226,$P:$P,0),1)+$G226,""),AND($B226&lt;&gt;"",$D226="COST",$G226&lt;0),$G226,TRUE,)</f>
        <v>-82.455</v>
      </c>
      <c r="J226" s="171">
        <f t="shared" si="228"/>
        <v>35.93096078</v>
      </c>
      <c r="K226" s="283" t="str">
        <f t="shared" si="3"/>
        <v>Vanguard S&amp;P 500 UCITS</v>
      </c>
      <c r="L226" s="284">
        <f t="shared" si="4"/>
        <v>3715</v>
      </c>
      <c r="M226" s="285">
        <f t="shared" si="5"/>
        <v>-151722.66</v>
      </c>
      <c r="N226" s="286" t="str">
        <f>IF($P226&lt;&gt;"",IF(MAXIFS(Investment!$M:$M,Investment!$H:$H,LEFT($P226,30)&amp;"*"),MAXIFS(Investment!$M:$M,Investment!$H:$H,LEFT($P226,30)&amp;"*"),),)</f>
        <v/>
      </c>
      <c r="O226" s="287" t="str">
        <f>IF($P226&lt;&gt;"",IF(MAXIFS(Investment!$AI:$AI,Investment!$H:$H,LEFT($P226,30)&amp;"*"),MAXIFS(Investment!$AI:$AI,Investment!$H:$H,LEFT($P226,30)&amp;"*"),),)</f>
        <v/>
      </c>
      <c r="P226" s="283"/>
      <c r="Q226" s="284"/>
      <c r="R226" s="288"/>
    </row>
    <row r="227">
      <c r="A227" s="165">
        <v>43579.0</v>
      </c>
      <c r="B227" s="166" t="s">
        <v>134</v>
      </c>
      <c r="C227" s="166" t="s">
        <v>135</v>
      </c>
      <c r="D227" s="166" t="s">
        <v>280</v>
      </c>
      <c r="E227" s="264">
        <v>-320.0</v>
      </c>
      <c r="F227" s="290">
        <v>4.1356</v>
      </c>
      <c r="G227" s="170">
        <v>1323.42</v>
      </c>
      <c r="H227" s="167" t="s">
        <v>686</v>
      </c>
      <c r="I227" s="171">
        <f t="shared" ref="I227:J227" si="229">IFS(AND($B227&lt;&gt;"",$E227&lt;&gt;""),IF(INDEX(N:N,MATCH($C227,$P:$P,0),1)&lt;&gt;"",$E227*INDEX(N:N,MATCH($C227,$P:$P,0),1)+$G227,""),AND($B227&lt;&gt;"",$D227="COST",$G227&lt;0),$G227,TRUE,)</f>
        <v>-153.7</v>
      </c>
      <c r="J227" s="171">
        <f t="shared" si="229"/>
        <v>-58.16086275</v>
      </c>
      <c r="K227" s="283" t="str">
        <f t="shared" si="3"/>
        <v>iShares Treasury Bond 20+ UCITS</v>
      </c>
      <c r="L227" s="284">
        <f t="shared" si="4"/>
        <v>53253</v>
      </c>
      <c r="M227" s="285">
        <f t="shared" si="5"/>
        <v>-206464.56</v>
      </c>
      <c r="N227" s="286" t="str">
        <f>IF($P227&lt;&gt;"",IF(MAXIFS(Investment!$M:$M,Investment!$H:$H,LEFT($P227,30)&amp;"*"),MAXIFS(Investment!$M:$M,Investment!$H:$H,LEFT($P227,30)&amp;"*"),),)</f>
        <v/>
      </c>
      <c r="O227" s="287" t="str">
        <f>IF($P227&lt;&gt;"",IF(MAXIFS(Investment!$AI:$AI,Investment!$H:$H,LEFT($P227,30)&amp;"*"),MAXIFS(Investment!$AI:$AI,Investment!$H:$H,LEFT($P227,30)&amp;"*"),),)</f>
        <v/>
      </c>
      <c r="P227" s="283"/>
      <c r="Q227" s="284"/>
      <c r="R227" s="288"/>
    </row>
    <row r="228">
      <c r="A228" s="165">
        <v>43579.0</v>
      </c>
      <c r="B228" s="166" t="s">
        <v>134</v>
      </c>
      <c r="C228" s="166" t="s">
        <v>135</v>
      </c>
      <c r="D228" s="166" t="s">
        <v>301</v>
      </c>
      <c r="E228" s="264"/>
      <c r="F228" s="290"/>
      <c r="G228" s="170">
        <v>-2.26</v>
      </c>
      <c r="H228" s="167" t="s">
        <v>648</v>
      </c>
      <c r="I228" s="171">
        <f t="shared" ref="I228:J228" si="230">IFS(AND($B228&lt;&gt;"",$E228&lt;&gt;""),IF(INDEX(N:N,MATCH($C228,$P:$P,0),1)&lt;&gt;"",$E228*INDEX(N:N,MATCH($C228,$P:$P,0),1)+$G228,""),AND($B228&lt;&gt;"",$D228="COST",$G228&lt;0),$G228,TRUE,)</f>
        <v>-2.26</v>
      </c>
      <c r="J228" s="171">
        <f t="shared" si="230"/>
        <v>-2.26</v>
      </c>
      <c r="K228" s="283" t="str">
        <f t="shared" si="3"/>
        <v>iShares Treasury Bond 20+ UCITS</v>
      </c>
      <c r="L228" s="284">
        <f t="shared" si="4"/>
        <v>53253</v>
      </c>
      <c r="M228" s="285">
        <f t="shared" si="5"/>
        <v>-206464.56</v>
      </c>
      <c r="N228" s="286" t="str">
        <f>IF($P228&lt;&gt;"",IF(MAXIFS(Investment!$M:$M,Investment!$H:$H,LEFT($P228,30)&amp;"*"),MAXIFS(Investment!$M:$M,Investment!$H:$H,LEFT($P228,30)&amp;"*"),),)</f>
        <v/>
      </c>
      <c r="O228" s="287" t="str">
        <f>IF($P228&lt;&gt;"",IF(MAXIFS(Investment!$AI:$AI,Investment!$H:$H,LEFT($P228,30)&amp;"*"),MAXIFS(Investment!$AI:$AI,Investment!$H:$H,LEFT($P228,30)&amp;"*"),),)</f>
        <v/>
      </c>
      <c r="P228" s="283"/>
      <c r="Q228" s="284"/>
      <c r="R228" s="288"/>
    </row>
    <row r="229">
      <c r="A229" s="165">
        <v>43579.0</v>
      </c>
      <c r="B229" s="166" t="s">
        <v>127</v>
      </c>
      <c r="C229" s="166" t="s">
        <v>128</v>
      </c>
      <c r="D229" s="166" t="s">
        <v>280</v>
      </c>
      <c r="E229" s="264">
        <v>-6.0</v>
      </c>
      <c r="F229" s="290">
        <v>174.67</v>
      </c>
      <c r="G229" s="170">
        <v>1048.02</v>
      </c>
      <c r="H229" s="167" t="s">
        <v>687</v>
      </c>
      <c r="I229" s="171">
        <f t="shared" ref="I229:J229" si="231">IFS(AND($B229&lt;&gt;"",$E229&lt;&gt;""),IF(INDEX(N:N,MATCH($C229,$P:$P,0),1)&lt;&gt;"",$E229*INDEX(N:N,MATCH($C229,$P:$P,0),1)+$G229,""),AND($B229&lt;&gt;"",$D229="COST",$G229&lt;0),$G229,TRUE,)</f>
        <v>-63.6</v>
      </c>
      <c r="J229" s="171">
        <f t="shared" si="231"/>
        <v>-12.73270588</v>
      </c>
      <c r="K229" s="283" t="str">
        <f t="shared" si="3"/>
        <v>iShares Treasury Bond 7-10 UCITS</v>
      </c>
      <c r="L229" s="284">
        <f t="shared" si="4"/>
        <v>547</v>
      </c>
      <c r="M229" s="285">
        <f t="shared" si="5"/>
        <v>-81771.76</v>
      </c>
      <c r="N229" s="286" t="str">
        <f>IF($P229&lt;&gt;"",IF(MAXIFS(Investment!$M:$M,Investment!$H:$H,LEFT($P229,30)&amp;"*"),MAXIFS(Investment!$M:$M,Investment!$H:$H,LEFT($P229,30)&amp;"*"),),)</f>
        <v/>
      </c>
      <c r="O229" s="287" t="str">
        <f>IF($P229&lt;&gt;"",IF(MAXIFS(Investment!$AI:$AI,Investment!$H:$H,LEFT($P229,30)&amp;"*"),MAXIFS(Investment!$AI:$AI,Investment!$H:$H,LEFT($P229,30)&amp;"*"),),)</f>
        <v/>
      </c>
      <c r="P229" s="283"/>
      <c r="Q229" s="284"/>
      <c r="R229" s="288"/>
    </row>
    <row r="230">
      <c r="A230" s="165">
        <v>43579.0</v>
      </c>
      <c r="B230" s="166" t="s">
        <v>134</v>
      </c>
      <c r="C230" s="166" t="s">
        <v>135</v>
      </c>
      <c r="D230" s="166" t="s">
        <v>280</v>
      </c>
      <c r="E230" s="264">
        <v>-285.0</v>
      </c>
      <c r="F230" s="290">
        <v>4.1217</v>
      </c>
      <c r="G230" s="170">
        <v>1174.71</v>
      </c>
      <c r="H230" s="167" t="s">
        <v>688</v>
      </c>
      <c r="I230" s="171">
        <f t="shared" ref="I230:J230" si="232">IFS(AND($B230&lt;&gt;"",$E230&lt;&gt;""),IF(INDEX(N:N,MATCH($C230,$P:$P,0),1)&lt;&gt;"",$E230*INDEX(N:N,MATCH($C230,$P:$P,0),1)+$G230,""),AND($B230&lt;&gt;"",$D230="COST",$G230&lt;0),$G230,TRUE,)</f>
        <v>-140.85</v>
      </c>
      <c r="J230" s="171">
        <f t="shared" si="232"/>
        <v>-55.76045588</v>
      </c>
      <c r="K230" s="283" t="str">
        <f t="shared" si="3"/>
        <v>iShares Treasury Bond 20+ UCITS</v>
      </c>
      <c r="L230" s="284">
        <f t="shared" si="4"/>
        <v>53253</v>
      </c>
      <c r="M230" s="285">
        <f t="shared" si="5"/>
        <v>-206464.56</v>
      </c>
      <c r="N230" s="286" t="str">
        <f>IF($P230&lt;&gt;"",IF(MAXIFS(Investment!$M:$M,Investment!$H:$H,LEFT($P230,30)&amp;"*"),MAXIFS(Investment!$M:$M,Investment!$H:$H,LEFT($P230,30)&amp;"*"),),)</f>
        <v/>
      </c>
      <c r="O230" s="287" t="str">
        <f>IF($P230&lt;&gt;"",IF(MAXIFS(Investment!$AI:$AI,Investment!$H:$H,LEFT($P230,30)&amp;"*"),MAXIFS(Investment!$AI:$AI,Investment!$H:$H,LEFT($P230,30)&amp;"*"),),)</f>
        <v/>
      </c>
      <c r="P230" s="283"/>
      <c r="Q230" s="284"/>
      <c r="R230" s="288"/>
    </row>
    <row r="231">
      <c r="A231" s="165">
        <v>43579.0</v>
      </c>
      <c r="B231" s="166" t="s">
        <v>134</v>
      </c>
      <c r="C231" s="166" t="s">
        <v>135</v>
      </c>
      <c r="D231" s="166" t="s">
        <v>301</v>
      </c>
      <c r="E231" s="264"/>
      <c r="F231" s="290"/>
      <c r="G231" s="170">
        <v>-2.23</v>
      </c>
      <c r="H231" s="167" t="s">
        <v>672</v>
      </c>
      <c r="I231" s="171">
        <f t="shared" ref="I231:J231" si="233">IFS(AND($B231&lt;&gt;"",$E231&lt;&gt;""),IF(INDEX(N:N,MATCH($C231,$P:$P,0),1)&lt;&gt;"",$E231*INDEX(N:N,MATCH($C231,$P:$P,0),1)+$G231,""),AND($B231&lt;&gt;"",$D231="COST",$G231&lt;0),$G231,TRUE,)</f>
        <v>-2.23</v>
      </c>
      <c r="J231" s="171">
        <f t="shared" si="233"/>
        <v>-2.23</v>
      </c>
      <c r="K231" s="283" t="str">
        <f t="shared" si="3"/>
        <v>iShares Treasury Bond 20+ UCITS</v>
      </c>
      <c r="L231" s="284">
        <f t="shared" si="4"/>
        <v>53253</v>
      </c>
      <c r="M231" s="285">
        <f t="shared" si="5"/>
        <v>-206464.56</v>
      </c>
      <c r="N231" s="286" t="str">
        <f>IF($P231&lt;&gt;"",IF(MAXIFS(Investment!$M:$M,Investment!$H:$H,LEFT($P231,30)&amp;"*"),MAXIFS(Investment!$M:$M,Investment!$H:$H,LEFT($P231,30)&amp;"*"),),)</f>
        <v/>
      </c>
      <c r="O231" s="287" t="str">
        <f>IF($P231&lt;&gt;"",IF(MAXIFS(Investment!$AI:$AI,Investment!$H:$H,LEFT($P231,30)&amp;"*"),MAXIFS(Investment!$AI:$AI,Investment!$H:$H,LEFT($P231,30)&amp;"*"),),)</f>
        <v/>
      </c>
      <c r="P231" s="283"/>
      <c r="Q231" s="284"/>
      <c r="R231" s="288"/>
    </row>
    <row r="232">
      <c r="A232" s="165">
        <v>43579.0</v>
      </c>
      <c r="B232" s="166" t="s">
        <v>138</v>
      </c>
      <c r="C232" s="166" t="s">
        <v>139</v>
      </c>
      <c r="D232" s="166" t="s">
        <v>280</v>
      </c>
      <c r="E232" s="264">
        <v>-25.0</v>
      </c>
      <c r="F232" s="290">
        <v>49.62</v>
      </c>
      <c r="G232" s="170">
        <v>1240.5</v>
      </c>
      <c r="H232" s="167" t="s">
        <v>689</v>
      </c>
      <c r="I232" s="171">
        <f t="shared" ref="I232:J232" si="234">IFS(AND($B232&lt;&gt;"",$E232&lt;&gt;""),IF(INDEX(N:N,MATCH($C232,$P:$P,0),1)&lt;&gt;"",$E232*INDEX(N:N,MATCH($C232,$P:$P,0),1)+$G232,""),AND($B232&lt;&gt;"",$D232="COST",$G232&lt;0),$G232,TRUE,)</f>
        <v>-91.625</v>
      </c>
      <c r="J232" s="171">
        <f t="shared" si="234"/>
        <v>37.05539216</v>
      </c>
      <c r="K232" s="283" t="str">
        <f t="shared" si="3"/>
        <v>Vanguard S&amp;P 500 UCITS</v>
      </c>
      <c r="L232" s="284">
        <f t="shared" si="4"/>
        <v>3715</v>
      </c>
      <c r="M232" s="285">
        <f t="shared" si="5"/>
        <v>-151722.66</v>
      </c>
      <c r="N232" s="286" t="str">
        <f>IF($P232&lt;&gt;"",IF(MAXIFS(Investment!$M:$M,Investment!$H:$H,LEFT($P232,30)&amp;"*"),MAXIFS(Investment!$M:$M,Investment!$H:$H,LEFT($P232,30)&amp;"*"),),)</f>
        <v/>
      </c>
      <c r="O232" s="287" t="str">
        <f>IF($P232&lt;&gt;"",IF(MAXIFS(Investment!$AI:$AI,Investment!$H:$H,LEFT($P232,30)&amp;"*"),MAXIFS(Investment!$AI:$AI,Investment!$H:$H,LEFT($P232,30)&amp;"*"),),)</f>
        <v/>
      </c>
      <c r="P232" s="283"/>
      <c r="Q232" s="284"/>
      <c r="R232" s="288"/>
    </row>
    <row r="233">
      <c r="A233" s="165">
        <v>43578.0</v>
      </c>
      <c r="B233" s="166" t="s">
        <v>138</v>
      </c>
      <c r="C233" s="166" t="s">
        <v>139</v>
      </c>
      <c r="D233" s="166" t="s">
        <v>280</v>
      </c>
      <c r="E233" s="264">
        <v>-25.0</v>
      </c>
      <c r="F233" s="290">
        <v>49.2048</v>
      </c>
      <c r="G233" s="170">
        <v>1230.12</v>
      </c>
      <c r="H233" s="167" t="s">
        <v>690</v>
      </c>
      <c r="I233" s="171">
        <f t="shared" ref="I233:J233" si="235">IFS(AND($B233&lt;&gt;"",$E233&lt;&gt;""),IF(INDEX(N:N,MATCH($C233,$P:$P,0),1)&lt;&gt;"",$E233*INDEX(N:N,MATCH($C233,$P:$P,0),1)+$G233,""),AND($B233&lt;&gt;"",$D233="COST",$G233&lt;0),$G233,TRUE,)</f>
        <v>-102.005</v>
      </c>
      <c r="J233" s="171">
        <f t="shared" si="235"/>
        <v>26.67539216</v>
      </c>
      <c r="K233" s="283" t="str">
        <f t="shared" si="3"/>
        <v>Vanguard S&amp;P 500 UCITS</v>
      </c>
      <c r="L233" s="284">
        <f t="shared" si="4"/>
        <v>3715</v>
      </c>
      <c r="M233" s="285">
        <f t="shared" si="5"/>
        <v>-151722.66</v>
      </c>
      <c r="N233" s="286" t="str">
        <f>IF($P233&lt;&gt;"",IF(MAXIFS(Investment!$M:$M,Investment!$H:$H,LEFT($P233,30)&amp;"*"),MAXIFS(Investment!$M:$M,Investment!$H:$H,LEFT($P233,30)&amp;"*"),),)</f>
        <v/>
      </c>
      <c r="O233" s="287" t="str">
        <f>IF($P233&lt;&gt;"",IF(MAXIFS(Investment!$AI:$AI,Investment!$H:$H,LEFT($P233,30)&amp;"*"),MAXIFS(Investment!$AI:$AI,Investment!$H:$H,LEFT($P233,30)&amp;"*"),),)</f>
        <v/>
      </c>
      <c r="P233" s="283"/>
      <c r="Q233" s="284"/>
      <c r="R233" s="288"/>
    </row>
    <row r="234">
      <c r="A234" s="165">
        <v>43578.0</v>
      </c>
      <c r="B234" s="166" t="s">
        <v>118</v>
      </c>
      <c r="C234" s="166" t="s">
        <v>120</v>
      </c>
      <c r="D234" s="166" t="s">
        <v>280</v>
      </c>
      <c r="E234" s="264">
        <v>-150.0</v>
      </c>
      <c r="F234" s="290">
        <v>7.43</v>
      </c>
      <c r="G234" s="170">
        <v>1114.5</v>
      </c>
      <c r="H234" s="167" t="s">
        <v>691</v>
      </c>
      <c r="I234" s="171">
        <f t="shared" ref="I234:J234" si="236">IFS(AND($B234&lt;&gt;"",$E234&lt;&gt;""),IF(INDEX(N:N,MATCH($C234,$P:$P,0),1)&lt;&gt;"",$E234*INDEX(N:N,MATCH($C234,$P:$P,0),1)+$G234,""),AND($B234&lt;&gt;"",$D234="COST",$G234&lt;0),$G234,TRUE,)</f>
        <v>7.5</v>
      </c>
      <c r="J234" s="171">
        <f t="shared" si="236"/>
        <v>27.44941176</v>
      </c>
      <c r="K234" s="283" t="str">
        <f t="shared" si="3"/>
        <v>ETFS All Commodities ETC</v>
      </c>
      <c r="L234" s="284">
        <f t="shared" si="4"/>
        <v>11745</v>
      </c>
      <c r="M234" s="285">
        <f t="shared" si="5"/>
        <v>-84366.02</v>
      </c>
      <c r="N234" s="286" t="str">
        <f>IF($P234&lt;&gt;"",IF(MAXIFS(Investment!$M:$M,Investment!$H:$H,LEFT($P234,30)&amp;"*"),MAXIFS(Investment!$M:$M,Investment!$H:$H,LEFT($P234,30)&amp;"*"),),)</f>
        <v/>
      </c>
      <c r="O234" s="287" t="str">
        <f>IF($P234&lt;&gt;"",IF(MAXIFS(Investment!$AI:$AI,Investment!$H:$H,LEFT($P234,30)&amp;"*"),MAXIFS(Investment!$AI:$AI,Investment!$H:$H,LEFT($P234,30)&amp;"*"),),)</f>
        <v/>
      </c>
      <c r="P234" s="283"/>
      <c r="Q234" s="284"/>
      <c r="R234" s="288"/>
    </row>
    <row r="235">
      <c r="A235" s="165">
        <v>43573.0</v>
      </c>
      <c r="B235" s="166" t="s">
        <v>138</v>
      </c>
      <c r="C235" s="166" t="s">
        <v>139</v>
      </c>
      <c r="D235" s="166" t="s">
        <v>280</v>
      </c>
      <c r="E235" s="264">
        <v>-25.0</v>
      </c>
      <c r="F235" s="290">
        <v>49.03</v>
      </c>
      <c r="G235" s="170">
        <v>1225.75</v>
      </c>
      <c r="H235" s="167" t="s">
        <v>692</v>
      </c>
      <c r="I235" s="171">
        <f t="shared" ref="I235:J235" si="237">IFS(AND($B235&lt;&gt;"",$E235&lt;&gt;""),IF(INDEX(N:N,MATCH($C235,$P:$P,0),1)&lt;&gt;"",$E235*INDEX(N:N,MATCH($C235,$P:$P,0),1)+$G235,""),AND($B235&lt;&gt;"",$D235="COST",$G235&lt;0),$G235,TRUE,)</f>
        <v>-106.375</v>
      </c>
      <c r="J235" s="171">
        <f t="shared" si="237"/>
        <v>22.30539216</v>
      </c>
      <c r="K235" s="283" t="str">
        <f t="shared" si="3"/>
        <v>Vanguard S&amp;P 500 UCITS</v>
      </c>
      <c r="L235" s="284">
        <f t="shared" si="4"/>
        <v>3715</v>
      </c>
      <c r="M235" s="285">
        <f t="shared" si="5"/>
        <v>-151722.66</v>
      </c>
      <c r="N235" s="286" t="str">
        <f>IF($P235&lt;&gt;"",IF(MAXIFS(Investment!$M:$M,Investment!$H:$H,LEFT($P235,30)&amp;"*"),MAXIFS(Investment!$M:$M,Investment!$H:$H,LEFT($P235,30)&amp;"*"),),)</f>
        <v/>
      </c>
      <c r="O235" s="287" t="str">
        <f>IF($P235&lt;&gt;"",IF(MAXIFS(Investment!$AI:$AI,Investment!$H:$H,LEFT($P235,30)&amp;"*"),MAXIFS(Investment!$AI:$AI,Investment!$H:$H,LEFT($P235,30)&amp;"*"),),)</f>
        <v/>
      </c>
      <c r="P235" s="283"/>
      <c r="Q235" s="284"/>
      <c r="R235" s="288"/>
    </row>
    <row r="236">
      <c r="A236" s="165">
        <v>43573.0</v>
      </c>
      <c r="B236" s="166" t="s">
        <v>134</v>
      </c>
      <c r="C236" s="166" t="s">
        <v>135</v>
      </c>
      <c r="D236" s="166" t="s">
        <v>280</v>
      </c>
      <c r="E236" s="264">
        <v>-879.0</v>
      </c>
      <c r="F236" s="290">
        <v>4.0992</v>
      </c>
      <c r="G236" s="170">
        <v>3603.2</v>
      </c>
      <c r="H236" s="167" t="s">
        <v>693</v>
      </c>
      <c r="I236" s="171">
        <f t="shared" ref="I236:J236" si="238">IFS(AND($B236&lt;&gt;"",$E236&lt;&gt;""),IF(INDEX(N:N,MATCH($C236,$P:$P,0),1)&lt;&gt;"",$E236*INDEX(N:N,MATCH($C236,$P:$P,0),1)+$G236,""),AND($B236&lt;&gt;"",$D236="COST",$G236&lt;0),$G236,TRUE,)</f>
        <v>-454.264</v>
      </c>
      <c r="J236" s="171">
        <f t="shared" si="238"/>
        <v>-191.8299324</v>
      </c>
      <c r="K236" s="283" t="str">
        <f t="shared" si="3"/>
        <v>iShares Treasury Bond 20+ UCITS</v>
      </c>
      <c r="L236" s="284">
        <f t="shared" si="4"/>
        <v>53253</v>
      </c>
      <c r="M236" s="285">
        <f t="shared" si="5"/>
        <v>-206464.56</v>
      </c>
      <c r="N236" s="286" t="str">
        <f>IF($P236&lt;&gt;"",IF(MAXIFS(Investment!$M:$M,Investment!$H:$H,LEFT($P236,30)&amp;"*"),MAXIFS(Investment!$M:$M,Investment!$H:$H,LEFT($P236,30)&amp;"*"),),)</f>
        <v/>
      </c>
      <c r="O236" s="287" t="str">
        <f>IF($P236&lt;&gt;"",IF(MAXIFS(Investment!$AI:$AI,Investment!$H:$H,LEFT($P236,30)&amp;"*"),MAXIFS(Investment!$AI:$AI,Investment!$H:$H,LEFT($P236,30)&amp;"*"),),)</f>
        <v/>
      </c>
      <c r="P236" s="283"/>
      <c r="Q236" s="284"/>
      <c r="R236" s="288"/>
    </row>
    <row r="237">
      <c r="A237" s="165">
        <v>43573.0</v>
      </c>
      <c r="B237" s="166" t="s">
        <v>134</v>
      </c>
      <c r="C237" s="166" t="s">
        <v>135</v>
      </c>
      <c r="D237" s="166" t="s">
        <v>301</v>
      </c>
      <c r="E237" s="264"/>
      <c r="F237" s="290"/>
      <c r="G237" s="170">
        <v>-2.72</v>
      </c>
      <c r="H237" s="167" t="s">
        <v>694</v>
      </c>
      <c r="I237" s="171">
        <f t="shared" ref="I237:J237" si="239">IFS(AND($B237&lt;&gt;"",$E237&lt;&gt;""),IF(INDEX(N:N,MATCH($C237,$P:$P,0),1)&lt;&gt;"",$E237*INDEX(N:N,MATCH($C237,$P:$P,0),1)+$G237,""),AND($B237&lt;&gt;"",$D237="COST",$G237&lt;0),$G237,TRUE,)</f>
        <v>-2.72</v>
      </c>
      <c r="J237" s="171">
        <f t="shared" si="239"/>
        <v>-2.72</v>
      </c>
      <c r="K237" s="283" t="str">
        <f t="shared" si="3"/>
        <v>iShares Treasury Bond 20+ UCITS</v>
      </c>
      <c r="L237" s="284">
        <f t="shared" si="4"/>
        <v>53253</v>
      </c>
      <c r="M237" s="285">
        <f t="shared" si="5"/>
        <v>-206464.56</v>
      </c>
      <c r="N237" s="286" t="str">
        <f>IF($P237&lt;&gt;"",IF(MAXIFS(Investment!$M:$M,Investment!$H:$H,LEFT($P237,30)&amp;"*"),MAXIFS(Investment!$M:$M,Investment!$H:$H,LEFT($P237,30)&amp;"*"),),)</f>
        <v/>
      </c>
      <c r="O237" s="287" t="str">
        <f>IF($P237&lt;&gt;"",IF(MAXIFS(Investment!$AI:$AI,Investment!$H:$H,LEFT($P237,30)&amp;"*"),MAXIFS(Investment!$AI:$AI,Investment!$H:$H,LEFT($P237,30)&amp;"*"),),)</f>
        <v/>
      </c>
      <c r="P237" s="283"/>
      <c r="Q237" s="284"/>
      <c r="R237" s="288"/>
    </row>
    <row r="238">
      <c r="A238" s="165">
        <v>43571.0</v>
      </c>
      <c r="B238" s="166" t="s">
        <v>138</v>
      </c>
      <c r="C238" s="166" t="s">
        <v>139</v>
      </c>
      <c r="D238" s="166" t="s">
        <v>280</v>
      </c>
      <c r="E238" s="264">
        <v>-25.0</v>
      </c>
      <c r="F238" s="290">
        <v>48.99</v>
      </c>
      <c r="G238" s="170">
        <v>1224.75</v>
      </c>
      <c r="H238" s="167" t="s">
        <v>695</v>
      </c>
      <c r="I238" s="171">
        <f t="shared" ref="I238:J238" si="240">IFS(AND($B238&lt;&gt;"",$E238&lt;&gt;""),IF(INDEX(N:N,MATCH($C238,$P:$P,0),1)&lt;&gt;"",$E238*INDEX(N:N,MATCH($C238,$P:$P,0),1)+$G238,""),AND($B238&lt;&gt;"",$D238="COST",$G238&lt;0),$G238,TRUE,)</f>
        <v>-107.375</v>
      </c>
      <c r="J238" s="171">
        <f t="shared" si="240"/>
        <v>21.30539216</v>
      </c>
      <c r="K238" s="283" t="str">
        <f t="shared" si="3"/>
        <v>Vanguard S&amp;P 500 UCITS</v>
      </c>
      <c r="L238" s="284">
        <f t="shared" si="4"/>
        <v>3715</v>
      </c>
      <c r="M238" s="285">
        <f t="shared" si="5"/>
        <v>-151722.66</v>
      </c>
      <c r="N238" s="286" t="str">
        <f>IF($P238&lt;&gt;"",IF(MAXIFS(Investment!$M:$M,Investment!$H:$H,LEFT($P238,30)&amp;"*"),MAXIFS(Investment!$M:$M,Investment!$H:$H,LEFT($P238,30)&amp;"*"),),)</f>
        <v/>
      </c>
      <c r="O238" s="287" t="str">
        <f>IF($P238&lt;&gt;"",IF(MAXIFS(Investment!$AI:$AI,Investment!$H:$H,LEFT($P238,30)&amp;"*"),MAXIFS(Investment!$AI:$AI,Investment!$H:$H,LEFT($P238,30)&amp;"*"),),)</f>
        <v/>
      </c>
      <c r="P238" s="283"/>
      <c r="Q238" s="284"/>
      <c r="R238" s="288"/>
    </row>
    <row r="239">
      <c r="A239" s="165">
        <v>43570.0</v>
      </c>
      <c r="B239" s="166" t="s">
        <v>138</v>
      </c>
      <c r="C239" s="166" t="s">
        <v>139</v>
      </c>
      <c r="D239" s="166" t="s">
        <v>280</v>
      </c>
      <c r="E239" s="264">
        <v>-25.0</v>
      </c>
      <c r="F239" s="290">
        <v>48.7952</v>
      </c>
      <c r="G239" s="170">
        <v>1219.88</v>
      </c>
      <c r="H239" s="167" t="s">
        <v>696</v>
      </c>
      <c r="I239" s="171">
        <f t="shared" ref="I239:J239" si="241">IFS(AND($B239&lt;&gt;"",$E239&lt;&gt;""),IF(INDEX(N:N,MATCH($C239,$P:$P,0),1)&lt;&gt;"",$E239*INDEX(N:N,MATCH($C239,$P:$P,0),1)+$G239,""),AND($B239&lt;&gt;"",$D239="COST",$G239&lt;0),$G239,TRUE,)</f>
        <v>-112.245</v>
      </c>
      <c r="J239" s="171">
        <f t="shared" si="241"/>
        <v>16.43539216</v>
      </c>
      <c r="K239" s="283" t="str">
        <f t="shared" si="3"/>
        <v>Vanguard S&amp;P 500 UCITS</v>
      </c>
      <c r="L239" s="284">
        <f t="shared" si="4"/>
        <v>3715</v>
      </c>
      <c r="M239" s="285">
        <f t="shared" si="5"/>
        <v>-151722.66</v>
      </c>
      <c r="N239" s="286" t="str">
        <f>IF($P239&lt;&gt;"",IF(MAXIFS(Investment!$M:$M,Investment!$H:$H,LEFT($P239,30)&amp;"*"),MAXIFS(Investment!$M:$M,Investment!$H:$H,LEFT($P239,30)&amp;"*"),),)</f>
        <v/>
      </c>
      <c r="O239" s="287" t="str">
        <f>IF($P239&lt;&gt;"",IF(MAXIFS(Investment!$AI:$AI,Investment!$H:$H,LEFT($P239,30)&amp;"*"),MAXIFS(Investment!$AI:$AI,Investment!$H:$H,LEFT($P239,30)&amp;"*"),),)</f>
        <v/>
      </c>
      <c r="P239" s="283"/>
      <c r="Q239" s="284"/>
      <c r="R239" s="288"/>
    </row>
    <row r="240">
      <c r="A240" s="165">
        <v>43567.0</v>
      </c>
      <c r="B240" s="166" t="s">
        <v>134</v>
      </c>
      <c r="C240" s="166" t="s">
        <v>135</v>
      </c>
      <c r="D240" s="166" t="s">
        <v>332</v>
      </c>
      <c r="E240" s="264">
        <v>60580.0</v>
      </c>
      <c r="F240" s="290">
        <v>4.098</v>
      </c>
      <c r="G240" s="170">
        <v>-248256.84</v>
      </c>
      <c r="H240" s="167" t="s">
        <v>697</v>
      </c>
      <c r="I240" s="171">
        <f t="shared" ref="I240:J240" si="242">IFS(AND($B240&lt;&gt;"",$E240&lt;&gt;""),IF(INDEX(N:N,MATCH($C240,$P:$P,0),1)&lt;&gt;"",$E240*INDEX(N:N,MATCH($C240,$P:$P,0),1)+$G240,""),AND($B240&lt;&gt;"",$D240="COST",$G240&lt;0),$G240,TRUE,)</f>
        <v>31380.44</v>
      </c>
      <c r="J240" s="171">
        <f t="shared" si="242"/>
        <v>13293.68708</v>
      </c>
      <c r="K240" s="283" t="str">
        <f t="shared" si="3"/>
        <v>iShares Treasury Bond 20+ UCITS</v>
      </c>
      <c r="L240" s="284">
        <f t="shared" si="4"/>
        <v>53253</v>
      </c>
      <c r="M240" s="285">
        <f t="shared" si="5"/>
        <v>-206464.56</v>
      </c>
      <c r="N240" s="286" t="str">
        <f>IF($P240&lt;&gt;"",IF(MAXIFS(Investment!$M:$M,Investment!$H:$H,LEFT($P240,30)&amp;"*"),MAXIFS(Investment!$M:$M,Investment!$H:$H,LEFT($P240,30)&amp;"*"),),)</f>
        <v/>
      </c>
      <c r="O240" s="287" t="str">
        <f>IF($P240&lt;&gt;"",IF(MAXIFS(Investment!$AI:$AI,Investment!$H:$H,LEFT($P240,30)&amp;"*"),MAXIFS(Investment!$AI:$AI,Investment!$H:$H,LEFT($P240,30)&amp;"*"),),)</f>
        <v/>
      </c>
      <c r="P240" s="283"/>
      <c r="Q240" s="284"/>
      <c r="R240" s="288"/>
    </row>
    <row r="241">
      <c r="A241" s="165">
        <v>43567.0</v>
      </c>
      <c r="B241" s="166" t="s">
        <v>134</v>
      </c>
      <c r="C241" s="166" t="s">
        <v>135</v>
      </c>
      <c r="D241" s="166" t="s">
        <v>301</v>
      </c>
      <c r="E241" s="264"/>
      <c r="F241" s="290"/>
      <c r="G241" s="170">
        <v>-51.65</v>
      </c>
      <c r="H241" s="167" t="s">
        <v>698</v>
      </c>
      <c r="I241" s="171">
        <f t="shared" ref="I241:J241" si="243">IFS(AND($B241&lt;&gt;"",$E241&lt;&gt;""),IF(INDEX(N:N,MATCH($C241,$P:$P,0),1)&lt;&gt;"",$E241*INDEX(N:N,MATCH($C241,$P:$P,0),1)+$G241,""),AND($B241&lt;&gt;"",$D241="COST",$G241&lt;0),$G241,TRUE,)</f>
        <v>-51.65</v>
      </c>
      <c r="J241" s="171">
        <f t="shared" si="243"/>
        <v>-51.65</v>
      </c>
      <c r="K241" s="283" t="str">
        <f t="shared" si="3"/>
        <v>iShares Treasury Bond 20+ UCITS</v>
      </c>
      <c r="L241" s="284">
        <f t="shared" si="4"/>
        <v>53253</v>
      </c>
      <c r="M241" s="285">
        <f t="shared" si="5"/>
        <v>-206464.56</v>
      </c>
      <c r="N241" s="286" t="str">
        <f>IF($P241&lt;&gt;"",IF(MAXIFS(Investment!$M:$M,Investment!$H:$H,LEFT($P241,30)&amp;"*"),MAXIFS(Investment!$M:$M,Investment!$H:$H,LEFT($P241,30)&amp;"*"),),)</f>
        <v/>
      </c>
      <c r="O241" s="287" t="str">
        <f>IF($P241&lt;&gt;"",IF(MAXIFS(Investment!$AI:$AI,Investment!$H:$H,LEFT($P241,30)&amp;"*"),MAXIFS(Investment!$AI:$AI,Investment!$H:$H,LEFT($P241,30)&amp;"*"),),)</f>
        <v/>
      </c>
      <c r="P241" s="283"/>
      <c r="Q241" s="284"/>
      <c r="R241" s="288"/>
    </row>
    <row r="242">
      <c r="A242" s="165">
        <v>43567.0</v>
      </c>
      <c r="B242" s="166" t="s">
        <v>134</v>
      </c>
      <c r="C242" s="166" t="s">
        <v>135</v>
      </c>
      <c r="D242" s="166" t="s">
        <v>332</v>
      </c>
      <c r="E242" s="264">
        <v>12775.0</v>
      </c>
      <c r="F242" s="290">
        <v>4.098</v>
      </c>
      <c r="G242" s="170">
        <v>-52351.56</v>
      </c>
      <c r="H242" s="167" t="s">
        <v>699</v>
      </c>
      <c r="I242" s="171">
        <f t="shared" ref="I242:J242" si="244">IFS(AND($B242&lt;&gt;"",$E242&lt;&gt;""),IF(INDEX(N:N,MATCH($C242,$P:$P,0),1)&lt;&gt;"",$E242*INDEX(N:N,MATCH($C242,$P:$P,0),1)+$G242,""),AND($B242&lt;&gt;"",$D242="COST",$G242&lt;0),$G242,TRUE,)</f>
        <v>6617.84</v>
      </c>
      <c r="J242" s="171">
        <f t="shared" si="244"/>
        <v>2803.738505</v>
      </c>
      <c r="K242" s="283" t="str">
        <f t="shared" si="3"/>
        <v>iShares Treasury Bond 20+ UCITS</v>
      </c>
      <c r="L242" s="284">
        <f t="shared" si="4"/>
        <v>53253</v>
      </c>
      <c r="M242" s="285">
        <f t="shared" si="5"/>
        <v>-206464.56</v>
      </c>
      <c r="N242" s="286" t="str">
        <f>IF($P242&lt;&gt;"",IF(MAXIFS(Investment!$M:$M,Investment!$H:$H,LEFT($P242,30)&amp;"*"),MAXIFS(Investment!$M:$M,Investment!$H:$H,LEFT($P242,30)&amp;"*"),),)</f>
        <v/>
      </c>
      <c r="O242" s="287" t="str">
        <f>IF($P242&lt;&gt;"",IF(MAXIFS(Investment!$AI:$AI,Investment!$H:$H,LEFT($P242,30)&amp;"*"),MAXIFS(Investment!$AI:$AI,Investment!$H:$H,LEFT($P242,30)&amp;"*"),),)</f>
        <v/>
      </c>
      <c r="P242" s="283"/>
      <c r="Q242" s="284"/>
      <c r="R242" s="288"/>
    </row>
    <row r="243">
      <c r="A243" s="165">
        <v>43567.0</v>
      </c>
      <c r="B243" s="166" t="s">
        <v>134</v>
      </c>
      <c r="C243" s="166" t="s">
        <v>135</v>
      </c>
      <c r="D243" s="166" t="s">
        <v>301</v>
      </c>
      <c r="E243" s="264"/>
      <c r="F243" s="290"/>
      <c r="G243" s="170">
        <v>-12.47</v>
      </c>
      <c r="H243" s="167" t="s">
        <v>700</v>
      </c>
      <c r="I243" s="171">
        <f t="shared" ref="I243:J243" si="245">IFS(AND($B243&lt;&gt;"",$E243&lt;&gt;""),IF(INDEX(N:N,MATCH($C243,$P:$P,0),1)&lt;&gt;"",$E243*INDEX(N:N,MATCH($C243,$P:$P,0),1)+$G243,""),AND($B243&lt;&gt;"",$D243="COST",$G243&lt;0),$G243,TRUE,)</f>
        <v>-12.47</v>
      </c>
      <c r="J243" s="171">
        <f t="shared" si="245"/>
        <v>-12.47</v>
      </c>
      <c r="K243" s="283" t="str">
        <f t="shared" si="3"/>
        <v>iShares Treasury Bond 20+ UCITS</v>
      </c>
      <c r="L243" s="284">
        <f t="shared" si="4"/>
        <v>53253</v>
      </c>
      <c r="M243" s="285">
        <f t="shared" si="5"/>
        <v>-206464.56</v>
      </c>
      <c r="N243" s="286" t="str">
        <f>IF($P243&lt;&gt;"",IF(MAXIFS(Investment!$M:$M,Investment!$H:$H,LEFT($P243,30)&amp;"*"),MAXIFS(Investment!$M:$M,Investment!$H:$H,LEFT($P243,30)&amp;"*"),),)</f>
        <v/>
      </c>
      <c r="O243" s="287" t="str">
        <f>IF($P243&lt;&gt;"",IF(MAXIFS(Investment!$AI:$AI,Investment!$H:$H,LEFT($P243,30)&amp;"*"),MAXIFS(Investment!$AI:$AI,Investment!$H:$H,LEFT($P243,30)&amp;"*"),),)</f>
        <v/>
      </c>
      <c r="P243" s="283"/>
      <c r="Q243" s="284"/>
      <c r="R243" s="288"/>
    </row>
    <row r="244">
      <c r="A244" s="165">
        <v>43567.0</v>
      </c>
      <c r="B244" s="166" t="s">
        <v>138</v>
      </c>
      <c r="C244" s="166" t="s">
        <v>139</v>
      </c>
      <c r="D244" s="166" t="s">
        <v>280</v>
      </c>
      <c r="E244" s="264">
        <v>-26.0</v>
      </c>
      <c r="F244" s="290">
        <v>48.69</v>
      </c>
      <c r="G244" s="170">
        <v>1265.94</v>
      </c>
      <c r="H244" s="167" t="s">
        <v>701</v>
      </c>
      <c r="I244" s="171">
        <f t="shared" ref="I244:J244" si="246">IFS(AND($B244&lt;&gt;"",$E244&lt;&gt;""),IF(INDEX(N:N,MATCH($C244,$P:$P,0),1)&lt;&gt;"",$E244*INDEX(N:N,MATCH($C244,$P:$P,0),1)+$G244,""),AND($B244&lt;&gt;"",$D244="COST",$G244&lt;0),$G244,TRUE,)</f>
        <v>-119.47</v>
      </c>
      <c r="J244" s="171">
        <f t="shared" si="246"/>
        <v>14.35760784</v>
      </c>
      <c r="K244" s="283" t="str">
        <f t="shared" si="3"/>
        <v>Vanguard S&amp;P 500 UCITS</v>
      </c>
      <c r="L244" s="284">
        <f t="shared" si="4"/>
        <v>3715</v>
      </c>
      <c r="M244" s="285">
        <f t="shared" si="5"/>
        <v>-151722.66</v>
      </c>
      <c r="N244" s="286" t="str">
        <f>IF($P244&lt;&gt;"",IF(MAXIFS(Investment!$M:$M,Investment!$H:$H,LEFT($P244,30)&amp;"*"),MAXIFS(Investment!$M:$M,Investment!$H:$H,LEFT($P244,30)&amp;"*"),),)</f>
        <v/>
      </c>
      <c r="O244" s="287" t="str">
        <f>IF($P244&lt;&gt;"",IF(MAXIFS(Investment!$AI:$AI,Investment!$H:$H,LEFT($P244,30)&amp;"*"),MAXIFS(Investment!$AI:$AI,Investment!$H:$H,LEFT($P244,30)&amp;"*"),),)</f>
        <v/>
      </c>
      <c r="P244" s="283"/>
      <c r="Q244" s="284"/>
      <c r="R244" s="288"/>
    </row>
    <row r="245">
      <c r="A245" s="165">
        <v>43565.0</v>
      </c>
      <c r="B245" s="166" t="s">
        <v>138</v>
      </c>
      <c r="C245" s="166" t="s">
        <v>139</v>
      </c>
      <c r="D245" s="166" t="s">
        <v>307</v>
      </c>
      <c r="E245" s="264"/>
      <c r="F245" s="290"/>
      <c r="G245" s="170">
        <v>-125.08</v>
      </c>
      <c r="H245" s="167" t="s">
        <v>702</v>
      </c>
      <c r="I245" s="171" t="str">
        <f t="shared" ref="I245:J245" si="247">IFS(AND($B245&lt;&gt;"",$E245&lt;&gt;""),IF(INDEX(N:N,MATCH($C245,$P:$P,0),1)&lt;&gt;"",$E245*INDEX(N:N,MATCH($C245,$P:$P,0),1)+$G245,""),AND($B245&lt;&gt;"",$D245="COST",$G245&lt;0),$G245,TRUE,)</f>
        <v/>
      </c>
      <c r="J245" s="171" t="str">
        <f t="shared" si="247"/>
        <v/>
      </c>
      <c r="K245" s="283" t="str">
        <f t="shared" si="3"/>
        <v>Vanguard S&amp;P 500 UCITS</v>
      </c>
      <c r="L245" s="284">
        <f t="shared" si="4"/>
        <v>3715</v>
      </c>
      <c r="M245" s="285">
        <f t="shared" si="5"/>
        <v>-151722.66</v>
      </c>
      <c r="N245" s="286" t="str">
        <f>IF($P245&lt;&gt;"",IF(MAXIFS(Investment!$M:$M,Investment!$H:$H,LEFT($P245,30)&amp;"*"),MAXIFS(Investment!$M:$M,Investment!$H:$H,LEFT($P245,30)&amp;"*"),),)</f>
        <v/>
      </c>
      <c r="O245" s="287" t="str">
        <f>IF($P245&lt;&gt;"",IF(MAXIFS(Investment!$AI:$AI,Investment!$H:$H,LEFT($P245,30)&amp;"*"),MAXIFS(Investment!$AI:$AI,Investment!$H:$H,LEFT($P245,30)&amp;"*"),),)</f>
        <v/>
      </c>
      <c r="P245" s="283"/>
      <c r="Q245" s="284"/>
      <c r="R245" s="288"/>
    </row>
    <row r="246">
      <c r="A246" s="165">
        <v>43565.0</v>
      </c>
      <c r="B246" s="166" t="s">
        <v>138</v>
      </c>
      <c r="C246" s="166" t="s">
        <v>139</v>
      </c>
      <c r="D246" s="166" t="s">
        <v>307</v>
      </c>
      <c r="E246" s="292"/>
      <c r="F246" s="293"/>
      <c r="G246" s="170">
        <v>1098.21</v>
      </c>
      <c r="H246" s="167" t="s">
        <v>703</v>
      </c>
      <c r="I246" s="171" t="str">
        <f t="shared" ref="I246:J246" si="248">IFS(AND($B246&lt;&gt;"",$E246&lt;&gt;""),IF(INDEX(N:N,MATCH($C246,$P:$P,0),1)&lt;&gt;"",$E246*INDEX(N:N,MATCH($C246,$P:$P,0),1)+$G246,""),AND($B246&lt;&gt;"",$D246="COST",$G246&lt;0),$G246,TRUE,)</f>
        <v/>
      </c>
      <c r="J246" s="171" t="str">
        <f t="shared" si="248"/>
        <v/>
      </c>
      <c r="K246" s="283" t="str">
        <f t="shared" si="3"/>
        <v>Vanguard S&amp;P 500 UCITS</v>
      </c>
      <c r="L246" s="284">
        <f t="shared" si="4"/>
        <v>3715</v>
      </c>
      <c r="M246" s="285">
        <f t="shared" si="5"/>
        <v>-151722.66</v>
      </c>
      <c r="N246" s="286" t="str">
        <f>IF($P246&lt;&gt;"",IF(MAXIFS(Investment!$M:$M,Investment!$H:$H,LEFT($P246,30)&amp;"*"),MAXIFS(Investment!$M:$M,Investment!$H:$H,LEFT($P246,30)&amp;"*"),),)</f>
        <v/>
      </c>
      <c r="O246" s="287" t="str">
        <f>IF($P246&lt;&gt;"",IF(MAXIFS(Investment!$AI:$AI,Investment!$H:$H,LEFT($P246,30)&amp;"*"),MAXIFS(Investment!$AI:$AI,Investment!$H:$H,LEFT($P246,30)&amp;"*"),),)</f>
        <v/>
      </c>
      <c r="P246" s="283"/>
      <c r="Q246" s="284"/>
      <c r="R246" s="288"/>
    </row>
    <row r="247">
      <c r="A247" s="220">
        <v>43560.0</v>
      </c>
      <c r="B247" s="143" t="s">
        <v>138</v>
      </c>
      <c r="C247" s="166" t="s">
        <v>139</v>
      </c>
      <c r="D247" s="143" t="s">
        <v>280</v>
      </c>
      <c r="E247" s="292">
        <v>-30.0</v>
      </c>
      <c r="F247" s="293">
        <v>48.75</v>
      </c>
      <c r="G247" s="171">
        <v>1462.5</v>
      </c>
      <c r="H247" s="167" t="s">
        <v>704</v>
      </c>
      <c r="I247" s="171">
        <f t="shared" ref="I247:J247" si="249">IFS(AND($B247&lt;&gt;"",$E247&lt;&gt;""),IF(INDEX(N:N,MATCH($C247,$P:$P,0),1)&lt;&gt;"",$E247*INDEX(N:N,MATCH($C247,$P:$P,0),1)+$G247,""),AND($B247&lt;&gt;"",$D247="COST",$G247&lt;0),$G247,TRUE,)</f>
        <v>-136.05</v>
      </c>
      <c r="J247" s="171">
        <f t="shared" si="249"/>
        <v>18.36647059</v>
      </c>
      <c r="K247" s="283" t="str">
        <f t="shared" si="3"/>
        <v>Vanguard S&amp;P 500 UCITS</v>
      </c>
      <c r="L247" s="284">
        <f t="shared" si="4"/>
        <v>3715</v>
      </c>
      <c r="M247" s="285">
        <f t="shared" si="5"/>
        <v>-151722.66</v>
      </c>
      <c r="N247" s="286" t="str">
        <f>IF($P247&lt;&gt;"",IF(MAXIFS(Investment!$M:$M,Investment!$H:$H,LEFT($P247,30)&amp;"*"),MAXIFS(Investment!$M:$M,Investment!$H:$H,LEFT($P247,30)&amp;"*"),),)</f>
        <v/>
      </c>
      <c r="O247" s="287" t="str">
        <f>IF($P247&lt;&gt;"",IF(MAXIFS(Investment!$AI:$AI,Investment!$H:$H,LEFT($P247,30)&amp;"*"),MAXIFS(Investment!$AI:$AI,Investment!$H:$H,LEFT($P247,30)&amp;"*"),),)</f>
        <v/>
      </c>
      <c r="P247" s="283"/>
      <c r="Q247" s="284"/>
      <c r="R247" s="288"/>
    </row>
    <row r="248">
      <c r="A248" s="165">
        <v>43560.0</v>
      </c>
      <c r="B248" s="55" t="s">
        <v>118</v>
      </c>
      <c r="C248" s="55" t="s">
        <v>120</v>
      </c>
      <c r="D248" s="55" t="s">
        <v>280</v>
      </c>
      <c r="E248" s="50">
        <v>-155.0</v>
      </c>
      <c r="F248" s="169">
        <v>7.44</v>
      </c>
      <c r="G248" s="170">
        <v>1153.2</v>
      </c>
      <c r="H248" s="167" t="s">
        <v>705</v>
      </c>
      <c r="I248" s="171">
        <f t="shared" ref="I248:J248" si="250">IFS(AND($B248&lt;&gt;"",$E248&lt;&gt;""),IF(INDEX(N:N,MATCH($C248,$P:$P,0),1)&lt;&gt;"",$E248*INDEX(N:N,MATCH($C248,$P:$P,0),1)+$G248,""),AND($B248&lt;&gt;"",$D248="COST",$G248&lt;0),$G248,TRUE,)</f>
        <v>9.3</v>
      </c>
      <c r="J248" s="171">
        <f t="shared" si="250"/>
        <v>29.91439216</v>
      </c>
      <c r="K248" s="283" t="str">
        <f t="shared" si="3"/>
        <v>ETFS All Commodities ETC</v>
      </c>
      <c r="L248" s="284">
        <f t="shared" si="4"/>
        <v>11745</v>
      </c>
      <c r="M248" s="285">
        <f t="shared" si="5"/>
        <v>-84366.02</v>
      </c>
      <c r="N248" s="286" t="str">
        <f>IF($P248&lt;&gt;"",IF(MAXIFS(Investment!$M:$M,Investment!$H:$H,LEFT($P248,30)&amp;"*"),MAXIFS(Investment!$M:$M,Investment!$H:$H,LEFT($P248,30)&amp;"*"),),)</f>
        <v/>
      </c>
      <c r="O248" s="287" t="str">
        <f>IF($P248&lt;&gt;"",IF(MAXIFS(Investment!$AI:$AI,Investment!$H:$H,LEFT($P248,30)&amp;"*"),MAXIFS(Investment!$AI:$AI,Investment!$H:$H,LEFT($P248,30)&amp;"*"),),)</f>
        <v/>
      </c>
      <c r="P248" s="283"/>
      <c r="Q248" s="284"/>
      <c r="R248" s="288"/>
    </row>
    <row r="249">
      <c r="A249" s="165">
        <v>43557.0</v>
      </c>
      <c r="B249" s="55" t="s">
        <v>118</v>
      </c>
      <c r="C249" s="55" t="s">
        <v>120</v>
      </c>
      <c r="D249" s="55" t="s">
        <v>280</v>
      </c>
      <c r="E249" s="50">
        <v>-145.0</v>
      </c>
      <c r="F249" s="169">
        <v>7.432</v>
      </c>
      <c r="G249" s="170">
        <v>1077.64</v>
      </c>
      <c r="H249" s="167" t="s">
        <v>706</v>
      </c>
      <c r="I249" s="171">
        <f t="shared" ref="I249:J249" si="251">IFS(AND($B249&lt;&gt;"",$E249&lt;&gt;""),IF(INDEX(N:N,MATCH($C249,$P:$P,0),1)&lt;&gt;"",$E249*INDEX(N:N,MATCH($C249,$P:$P,0),1)+$G249,""),AND($B249&lt;&gt;"",$D249="COST",$G249&lt;0),$G249,TRUE,)</f>
        <v>7.54</v>
      </c>
      <c r="J249" s="171">
        <f t="shared" si="251"/>
        <v>26.82443137</v>
      </c>
      <c r="K249" s="283" t="str">
        <f t="shared" si="3"/>
        <v>ETFS All Commodities ETC</v>
      </c>
      <c r="L249" s="284">
        <f t="shared" si="4"/>
        <v>11745</v>
      </c>
      <c r="M249" s="285">
        <f t="shared" si="5"/>
        <v>-84366.02</v>
      </c>
      <c r="N249" s="286" t="str">
        <f>IF($P249&lt;&gt;"",IF(MAXIFS(Investment!$M:$M,Investment!$H:$H,LEFT($P249,30)&amp;"*"),MAXIFS(Investment!$M:$M,Investment!$H:$H,LEFT($P249,30)&amp;"*"),),)</f>
        <v/>
      </c>
      <c r="O249" s="287" t="str">
        <f>IF($P249&lt;&gt;"",IF(MAXIFS(Investment!$AI:$AI,Investment!$H:$H,LEFT($P249,30)&amp;"*"),MAXIFS(Investment!$AI:$AI,Investment!$H:$H,LEFT($P249,30)&amp;"*"),),)</f>
        <v/>
      </c>
      <c r="P249" s="283"/>
      <c r="Q249" s="284"/>
      <c r="R249" s="288"/>
    </row>
    <row r="250">
      <c r="A250" s="165">
        <v>43557.0</v>
      </c>
      <c r="B250" s="55" t="s">
        <v>118</v>
      </c>
      <c r="C250" s="55" t="s">
        <v>120</v>
      </c>
      <c r="D250" s="55" t="s">
        <v>280</v>
      </c>
      <c r="E250" s="50">
        <v>-220.0</v>
      </c>
      <c r="F250" s="169">
        <v>7.42</v>
      </c>
      <c r="G250" s="170">
        <v>1632.4</v>
      </c>
      <c r="H250" s="167" t="s">
        <v>707</v>
      </c>
      <c r="I250" s="171">
        <f t="shared" ref="I250:J250" si="252">IFS(AND($B250&lt;&gt;"",$E250&lt;&gt;""),IF(INDEX(N:N,MATCH($C250,$P:$P,0),1)&lt;&gt;"",$E250*INDEX(N:N,MATCH($C250,$P:$P,0),1)+$G250,""),AND($B250&lt;&gt;"",$D250="COST",$G250&lt;0),$G250,TRUE,)</f>
        <v>8.8</v>
      </c>
      <c r="J250" s="171">
        <f t="shared" si="252"/>
        <v>38.05913725</v>
      </c>
      <c r="K250" s="283" t="str">
        <f t="shared" si="3"/>
        <v>ETFS All Commodities ETC</v>
      </c>
      <c r="L250" s="284">
        <f t="shared" si="4"/>
        <v>11745</v>
      </c>
      <c r="M250" s="285">
        <f t="shared" si="5"/>
        <v>-84366.02</v>
      </c>
      <c r="N250" s="286" t="str">
        <f>IF($P250&lt;&gt;"",IF(MAXIFS(Investment!$M:$M,Investment!$H:$H,LEFT($P250,30)&amp;"*"),MAXIFS(Investment!$M:$M,Investment!$H:$H,LEFT($P250,30)&amp;"*"),),)</f>
        <v/>
      </c>
      <c r="O250" s="287" t="str">
        <f>IF($P250&lt;&gt;"",IF(MAXIFS(Investment!$AI:$AI,Investment!$H:$H,LEFT($P250,30)&amp;"*"),MAXIFS(Investment!$AI:$AI,Investment!$H:$H,LEFT($P250,30)&amp;"*"),),)</f>
        <v/>
      </c>
      <c r="P250" s="283"/>
      <c r="Q250" s="284"/>
      <c r="R250" s="288"/>
    </row>
    <row r="251">
      <c r="A251" s="165">
        <v>43557.0</v>
      </c>
      <c r="B251" s="55" t="s">
        <v>118</v>
      </c>
      <c r="C251" s="55" t="s">
        <v>120</v>
      </c>
      <c r="D251" s="55" t="s">
        <v>280</v>
      </c>
      <c r="E251" s="50">
        <v>-200.0</v>
      </c>
      <c r="F251" s="169">
        <v>7.42</v>
      </c>
      <c r="G251" s="170">
        <v>1484.0</v>
      </c>
      <c r="H251" s="167" t="s">
        <v>708</v>
      </c>
      <c r="I251" s="171">
        <f t="shared" ref="I251:J251" si="253">IFS(AND($B251&lt;&gt;"",$E251&lt;&gt;""),IF(INDEX(N:N,MATCH($C251,$P:$P,0),1)&lt;&gt;"",$E251*INDEX(N:N,MATCH($C251,$P:$P,0),1)+$G251,""),AND($B251&lt;&gt;"",$D251="COST",$G251&lt;0),$G251,TRUE,)</f>
        <v>8</v>
      </c>
      <c r="J251" s="171">
        <f t="shared" si="253"/>
        <v>34.59921569</v>
      </c>
      <c r="K251" s="283" t="str">
        <f t="shared" si="3"/>
        <v>ETFS All Commodities ETC</v>
      </c>
      <c r="L251" s="284">
        <f t="shared" si="4"/>
        <v>11745</v>
      </c>
      <c r="M251" s="285">
        <f t="shared" si="5"/>
        <v>-84366.02</v>
      </c>
      <c r="N251" s="286" t="str">
        <f>IF($P251&lt;&gt;"",IF(MAXIFS(Investment!$M:$M,Investment!$H:$H,LEFT($P251,30)&amp;"*"),MAXIFS(Investment!$M:$M,Investment!$H:$H,LEFT($P251,30)&amp;"*"),),)</f>
        <v/>
      </c>
      <c r="O251" s="287" t="str">
        <f>IF($P251&lt;&gt;"",IF(MAXIFS(Investment!$AI:$AI,Investment!$H:$H,LEFT($P251,30)&amp;"*"),MAXIFS(Investment!$AI:$AI,Investment!$H:$H,LEFT($P251,30)&amp;"*"),),)</f>
        <v/>
      </c>
      <c r="P251" s="283"/>
      <c r="Q251" s="284"/>
      <c r="R251" s="288"/>
    </row>
    <row r="252">
      <c r="A252" s="165">
        <v>43556.0</v>
      </c>
      <c r="B252" s="55"/>
      <c r="C252" s="55"/>
      <c r="D252" s="55" t="s">
        <v>299</v>
      </c>
      <c r="E252" s="50"/>
      <c r="F252" s="169"/>
      <c r="G252" s="170">
        <v>-500.0</v>
      </c>
      <c r="H252" s="167" t="s">
        <v>620</v>
      </c>
      <c r="I252" s="171" t="str">
        <f t="shared" ref="I252:J252" si="254">IFS(AND($B252&lt;&gt;"",$E252&lt;&gt;""),IF(INDEX(N:N,MATCH($C252,$P:$P,0),1)&lt;&gt;"",$E252*INDEX(N:N,MATCH($C252,$P:$P,0),1)+$G252,""),AND($B252&lt;&gt;"",$D252="COST",$G252&lt;0),$G252,TRUE,)</f>
        <v/>
      </c>
      <c r="J252" s="171" t="str">
        <f t="shared" si="254"/>
        <v/>
      </c>
      <c r="K252" s="283" t="str">
        <f t="shared" si="3"/>
        <v/>
      </c>
      <c r="L252" s="284" t="str">
        <f t="shared" si="4"/>
        <v/>
      </c>
      <c r="M252" s="285" t="str">
        <f t="shared" si="5"/>
        <v/>
      </c>
      <c r="N252" s="286" t="str">
        <f>IF($P252&lt;&gt;"",IF(MAXIFS(Investment!$M:$M,Investment!$H:$H,LEFT($P252,30)&amp;"*"),MAXIFS(Investment!$M:$M,Investment!$H:$H,LEFT($P252,30)&amp;"*"),),)</f>
        <v/>
      </c>
      <c r="O252" s="287" t="str">
        <f>IF($P252&lt;&gt;"",IF(MAXIFS(Investment!$AI:$AI,Investment!$H:$H,LEFT($P252,30)&amp;"*"),MAXIFS(Investment!$AI:$AI,Investment!$H:$H,LEFT($P252,30)&amp;"*"),),)</f>
        <v/>
      </c>
      <c r="P252" s="283"/>
      <c r="Q252" s="284"/>
      <c r="R252" s="288"/>
    </row>
    <row r="253">
      <c r="A253" s="165">
        <v>43555.0</v>
      </c>
      <c r="B253" s="166"/>
      <c r="C253" s="166"/>
      <c r="D253" s="166" t="s">
        <v>301</v>
      </c>
      <c r="E253" s="264"/>
      <c r="F253" s="290"/>
      <c r="G253" s="170">
        <v>-618.92</v>
      </c>
      <c r="H253" s="167" t="s">
        <v>709</v>
      </c>
      <c r="I253" s="171" t="str">
        <f t="shared" ref="I253:J253" si="255">IFS(AND($B253&lt;&gt;"",$E253&lt;&gt;""),IF(INDEX(N:N,MATCH($C253,$P:$P,0),1)&lt;&gt;"",$E253*INDEX(N:N,MATCH($C253,$P:$P,0),1)+$G253,""),AND($B253&lt;&gt;"",$D253="COST",$G253&lt;0),$G253,TRUE,)</f>
        <v/>
      </c>
      <c r="J253" s="171" t="str">
        <f t="shared" si="255"/>
        <v/>
      </c>
      <c r="K253" s="283" t="str">
        <f t="shared" si="3"/>
        <v/>
      </c>
      <c r="L253" s="284" t="str">
        <f t="shared" si="4"/>
        <v/>
      </c>
      <c r="M253" s="285" t="str">
        <f t="shared" si="5"/>
        <v/>
      </c>
      <c r="N253" s="286" t="str">
        <f>IF($P253&lt;&gt;"",IF(MAXIFS(Investment!$M:$M,Investment!$H:$H,LEFT($P253,30)&amp;"*"),MAXIFS(Investment!$M:$M,Investment!$H:$H,LEFT($P253,30)&amp;"*"),),)</f>
        <v/>
      </c>
      <c r="O253" s="287" t="str">
        <f>IF($P253&lt;&gt;"",IF(MAXIFS(Investment!$AI:$AI,Investment!$H:$H,LEFT($P253,30)&amp;"*"),MAXIFS(Investment!$AI:$AI,Investment!$H:$H,LEFT($P253,30)&amp;"*"),),)</f>
        <v/>
      </c>
      <c r="P253" s="283"/>
      <c r="Q253" s="284"/>
      <c r="R253" s="288"/>
    </row>
    <row r="254">
      <c r="A254" s="165">
        <v>43549.0</v>
      </c>
      <c r="B254" s="55" t="s">
        <v>134</v>
      </c>
      <c r="C254" s="55" t="s">
        <v>710</v>
      </c>
      <c r="D254" s="55" t="s">
        <v>301</v>
      </c>
      <c r="E254" s="50"/>
      <c r="F254" s="169"/>
      <c r="G254" s="170">
        <v>-51.46</v>
      </c>
      <c r="H254" s="167" t="s">
        <v>711</v>
      </c>
      <c r="I254" s="171">
        <f t="shared" ref="I254:J254" si="256">IFS(AND($B254&lt;&gt;"",$E254&lt;&gt;""),IF(INDEX(N:N,MATCH($C254,$P:$P,0),1)&lt;&gt;"",$E254*INDEX(N:N,MATCH($C254,$P:$P,0),1)+$G254,""),AND($B254&lt;&gt;"",$D254="COST",$G254&lt;0),$G254,TRUE,)</f>
        <v>-51.46</v>
      </c>
      <c r="J254" s="171">
        <f t="shared" si="256"/>
        <v>-51.46</v>
      </c>
      <c r="K254" s="283" t="str">
        <f t="shared" si="3"/>
        <v>iShares Treasury Bond 20+ UCITS USD Dist</v>
      </c>
      <c r="L254" s="284">
        <f t="shared" si="4"/>
        <v>0</v>
      </c>
      <c r="M254" s="285">
        <f t="shared" si="5"/>
        <v>27424.27</v>
      </c>
      <c r="N254" s="286" t="str">
        <f>IF($P254&lt;&gt;"",IF(MAXIFS(Investment!$M:$M,Investment!$H:$H,LEFT($P254,30)&amp;"*"),MAXIFS(Investment!$M:$M,Investment!$H:$H,LEFT($P254,30)&amp;"*"),),)</f>
        <v/>
      </c>
      <c r="O254" s="287" t="str">
        <f>IF($P254&lt;&gt;"",IF(MAXIFS(Investment!$AI:$AI,Investment!$H:$H,LEFT($P254,30)&amp;"*"),MAXIFS(Investment!$AI:$AI,Investment!$H:$H,LEFT($P254,30)&amp;"*"),),)</f>
        <v/>
      </c>
      <c r="P254" s="283"/>
      <c r="Q254" s="284"/>
      <c r="R254" s="288"/>
    </row>
    <row r="255">
      <c r="A255" s="165">
        <v>43549.0</v>
      </c>
      <c r="B255" s="55" t="s">
        <v>134</v>
      </c>
      <c r="C255" s="55" t="s">
        <v>710</v>
      </c>
      <c r="D255" s="55" t="s">
        <v>280</v>
      </c>
      <c r="E255" s="50">
        <v>-60000.0</v>
      </c>
      <c r="F255" s="169">
        <v>4.113</v>
      </c>
      <c r="G255" s="170">
        <v>246774.25</v>
      </c>
      <c r="H255" s="167" t="s">
        <v>712</v>
      </c>
      <c r="I255" s="171">
        <f t="shared" ref="I255:J255" si="257">IFS(AND($B255&lt;&gt;"",$E255&lt;&gt;""),IF(INDEX(N:N,MATCH($C255,$P:$P,0),1)&lt;&gt;"",$E255*INDEX(N:N,MATCH($C255,$P:$P,0),1)+$G255,""),AND($B255&lt;&gt;"",$D255="COST",$G255&lt;0),$G255,TRUE,)</f>
        <v>-30185.75</v>
      </c>
      <c r="J255" s="171">
        <f t="shared" si="257"/>
        <v>-12272.16176</v>
      </c>
      <c r="K255" s="283" t="str">
        <f t="shared" si="3"/>
        <v>iShares Treasury Bond 20+ UCITS USD Dist</v>
      </c>
      <c r="L255" s="284">
        <f t="shared" si="4"/>
        <v>0</v>
      </c>
      <c r="M255" s="285">
        <f t="shared" si="5"/>
        <v>27424.27</v>
      </c>
      <c r="N255" s="286" t="str">
        <f>IF($P255&lt;&gt;"",IF(MAXIFS(Investment!$M:$M,Investment!$H:$H,LEFT($P255,30)&amp;"*"),MAXIFS(Investment!$M:$M,Investment!$H:$H,LEFT($P255,30)&amp;"*"),),)</f>
        <v/>
      </c>
      <c r="O255" s="287" t="str">
        <f>IF($P255&lt;&gt;"",IF(MAXIFS(Investment!$AI:$AI,Investment!$H:$H,LEFT($P255,30)&amp;"*"),MAXIFS(Investment!$AI:$AI,Investment!$H:$H,LEFT($P255,30)&amp;"*"),),)</f>
        <v/>
      </c>
      <c r="P255" s="283"/>
      <c r="Q255" s="284"/>
      <c r="R255" s="288"/>
    </row>
    <row r="256">
      <c r="A256" s="165">
        <v>43549.0</v>
      </c>
      <c r="B256" s="55" t="s">
        <v>134</v>
      </c>
      <c r="C256" s="55" t="s">
        <v>710</v>
      </c>
      <c r="D256" s="55" t="s">
        <v>301</v>
      </c>
      <c r="E256" s="50"/>
      <c r="F256" s="169"/>
      <c r="G256" s="170">
        <v>-12.88</v>
      </c>
      <c r="H256" s="167" t="s">
        <v>713</v>
      </c>
      <c r="I256" s="171">
        <f t="shared" ref="I256:J256" si="258">IFS(AND($B256&lt;&gt;"",$E256&lt;&gt;""),IF(INDEX(N:N,MATCH($C256,$P:$P,0),1)&lt;&gt;"",$E256*INDEX(N:N,MATCH($C256,$P:$P,0),1)+$G256,""),AND($B256&lt;&gt;"",$D256="COST",$G256&lt;0),$G256,TRUE,)</f>
        <v>-12.88</v>
      </c>
      <c r="J256" s="171">
        <f t="shared" si="258"/>
        <v>-12.88</v>
      </c>
      <c r="K256" s="283" t="str">
        <f t="shared" si="3"/>
        <v>iShares Treasury Bond 20+ UCITS USD Dist</v>
      </c>
      <c r="L256" s="284">
        <f t="shared" si="4"/>
        <v>0</v>
      </c>
      <c r="M256" s="285">
        <f t="shared" si="5"/>
        <v>27424.27</v>
      </c>
      <c r="N256" s="286" t="str">
        <f>IF($P256&lt;&gt;"",IF(MAXIFS(Investment!$M:$M,Investment!$H:$H,LEFT($P256,30)&amp;"*"),MAXIFS(Investment!$M:$M,Investment!$H:$H,LEFT($P256,30)&amp;"*"),),)</f>
        <v/>
      </c>
      <c r="O256" s="287" t="str">
        <f>IF($P256&lt;&gt;"",IF(MAXIFS(Investment!$AI:$AI,Investment!$H:$H,LEFT($P256,30)&amp;"*"),MAXIFS(Investment!$AI:$AI,Investment!$H:$H,LEFT($P256,30)&amp;"*"),),)</f>
        <v/>
      </c>
      <c r="P256" s="283"/>
      <c r="Q256" s="284"/>
      <c r="R256" s="288"/>
    </row>
    <row r="257">
      <c r="A257" s="165">
        <v>43549.0</v>
      </c>
      <c r="B257" s="55" t="s">
        <v>134</v>
      </c>
      <c r="C257" s="55" t="s">
        <v>710</v>
      </c>
      <c r="D257" s="55" t="s">
        <v>280</v>
      </c>
      <c r="E257" s="50">
        <v>-13195.0</v>
      </c>
      <c r="F257" s="169">
        <v>4.113</v>
      </c>
      <c r="G257" s="170">
        <v>54273.96</v>
      </c>
      <c r="H257" s="167" t="s">
        <v>714</v>
      </c>
      <c r="I257" s="171">
        <f t="shared" ref="I257:J257" si="259">IFS(AND($B257&lt;&gt;"",$E257&lt;&gt;""),IF(INDEX(N:N,MATCH($C257,$P:$P,0),1)&lt;&gt;"",$E257*INDEX(N:N,MATCH($C257,$P:$P,0),1)+$G257,""),AND($B257&lt;&gt;"",$D257="COST",$G257&lt;0),$G257,TRUE,)</f>
        <v>-6634.16</v>
      </c>
      <c r="J257" s="171">
        <f t="shared" si="259"/>
        <v>-2694.663387</v>
      </c>
      <c r="K257" s="283" t="str">
        <f t="shared" si="3"/>
        <v>iShares Treasury Bond 20+ UCITS USD Dist</v>
      </c>
      <c r="L257" s="284">
        <f t="shared" si="4"/>
        <v>0</v>
      </c>
      <c r="M257" s="285">
        <f t="shared" si="5"/>
        <v>27424.27</v>
      </c>
      <c r="N257" s="286" t="str">
        <f>IF($P257&lt;&gt;"",IF(MAXIFS(Investment!$M:$M,Investment!$H:$H,LEFT($P257,30)&amp;"*"),MAXIFS(Investment!$M:$M,Investment!$H:$H,LEFT($P257,30)&amp;"*"),),)</f>
        <v/>
      </c>
      <c r="O257" s="287" t="str">
        <f>IF($P257&lt;&gt;"",IF(MAXIFS(Investment!$AI:$AI,Investment!$H:$H,LEFT($P257,30)&amp;"*"),MAXIFS(Investment!$AI:$AI,Investment!$H:$H,LEFT($P257,30)&amp;"*"),),)</f>
        <v/>
      </c>
      <c r="P257" s="283"/>
      <c r="Q257" s="284"/>
      <c r="R257" s="288"/>
    </row>
    <row r="258">
      <c r="A258" s="165">
        <v>43543.0</v>
      </c>
      <c r="B258" s="55" t="s">
        <v>138</v>
      </c>
      <c r="C258" s="55" t="s">
        <v>139</v>
      </c>
      <c r="D258" s="55" t="s">
        <v>280</v>
      </c>
      <c r="E258" s="50">
        <v>-22.0</v>
      </c>
      <c r="F258" s="169">
        <v>47.68</v>
      </c>
      <c r="G258" s="170">
        <v>1048.96</v>
      </c>
      <c r="H258" s="167" t="s">
        <v>715</v>
      </c>
      <c r="I258" s="171">
        <f t="shared" ref="I258:J258" si="260">IFS(AND($B258&lt;&gt;"",$E258&lt;&gt;""),IF(INDEX(N:N,MATCH($C258,$P:$P,0),1)&lt;&gt;"",$E258*INDEX(N:N,MATCH($C258,$P:$P,0),1)+$G258,""),AND($B258&lt;&gt;"",$D258="COST",$G258&lt;0),$G258,TRUE,)</f>
        <v>-123.31</v>
      </c>
      <c r="J258" s="171">
        <f t="shared" si="260"/>
        <v>-10.0712549</v>
      </c>
      <c r="K258" s="283" t="str">
        <f t="shared" si="3"/>
        <v>Vanguard S&amp;P 500 UCITS</v>
      </c>
      <c r="L258" s="284">
        <f t="shared" si="4"/>
        <v>3715</v>
      </c>
      <c r="M258" s="285">
        <f t="shared" si="5"/>
        <v>-151722.66</v>
      </c>
      <c r="N258" s="286" t="str">
        <f>IF($P258&lt;&gt;"",IF(MAXIFS(Investment!$M:$M,Investment!$H:$H,LEFT($P258,30)&amp;"*"),MAXIFS(Investment!$M:$M,Investment!$H:$H,LEFT($P258,30)&amp;"*"),),)</f>
        <v/>
      </c>
      <c r="O258" s="287" t="str">
        <f>IF($P258&lt;&gt;"",IF(MAXIFS(Investment!$AI:$AI,Investment!$H:$H,LEFT($P258,30)&amp;"*"),MAXIFS(Investment!$AI:$AI,Investment!$H:$H,LEFT($P258,30)&amp;"*"),),)</f>
        <v/>
      </c>
      <c r="P258" s="283"/>
      <c r="Q258" s="284"/>
      <c r="R258" s="288"/>
    </row>
    <row r="259">
      <c r="A259" s="165">
        <v>43532.0</v>
      </c>
      <c r="B259" s="55" t="s">
        <v>134</v>
      </c>
      <c r="C259" s="55" t="s">
        <v>710</v>
      </c>
      <c r="D259" s="55" t="s">
        <v>301</v>
      </c>
      <c r="E259" s="50"/>
      <c r="F259" s="169"/>
      <c r="G259" s="170">
        <v>-2.73</v>
      </c>
      <c r="H259" s="167" t="s">
        <v>716</v>
      </c>
      <c r="I259" s="171">
        <f t="shared" ref="I259:J259" si="261">IFS(AND($B259&lt;&gt;"",$E259&lt;&gt;""),IF(INDEX(N:N,MATCH($C259,$P:$P,0),1)&lt;&gt;"",$E259*INDEX(N:N,MATCH($C259,$P:$P,0),1)+$G259,""),AND($B259&lt;&gt;"",$D259="COST",$G259&lt;0),$G259,TRUE,)</f>
        <v>-2.73</v>
      </c>
      <c r="J259" s="171">
        <f t="shared" si="261"/>
        <v>-2.73</v>
      </c>
      <c r="K259" s="283" t="str">
        <f t="shared" si="3"/>
        <v>iShares Treasury Bond 20+ UCITS USD Dist</v>
      </c>
      <c r="L259" s="284">
        <f t="shared" si="4"/>
        <v>0</v>
      </c>
      <c r="M259" s="285">
        <f t="shared" si="5"/>
        <v>27424.27</v>
      </c>
      <c r="N259" s="286" t="str">
        <f>IF($P259&lt;&gt;"",IF(MAXIFS(Investment!$M:$M,Investment!$H:$H,LEFT($P259,30)&amp;"*"),MAXIFS(Investment!$M:$M,Investment!$H:$H,LEFT($P259,30)&amp;"*"),),)</f>
        <v/>
      </c>
      <c r="O259" s="287" t="str">
        <f>IF($P259&lt;&gt;"",IF(MAXIFS(Investment!$AI:$AI,Investment!$H:$H,LEFT($P259,30)&amp;"*"),MAXIFS(Investment!$AI:$AI,Investment!$H:$H,LEFT($P259,30)&amp;"*"),),)</f>
        <v/>
      </c>
      <c r="P259" s="283"/>
      <c r="Q259" s="284"/>
      <c r="R259" s="288"/>
    </row>
    <row r="260">
      <c r="A260" s="165">
        <v>43532.0</v>
      </c>
      <c r="B260" s="55" t="s">
        <v>134</v>
      </c>
      <c r="C260" s="55" t="s">
        <v>710</v>
      </c>
      <c r="D260" s="55" t="s">
        <v>280</v>
      </c>
      <c r="E260" s="50">
        <v>-900.0</v>
      </c>
      <c r="F260" s="169">
        <v>4.054</v>
      </c>
      <c r="G260" s="170">
        <v>3649.01</v>
      </c>
      <c r="H260" s="167" t="s">
        <v>717</v>
      </c>
      <c r="I260" s="171">
        <f t="shared" ref="I260:J260" si="262">IFS(AND($B260&lt;&gt;"",$E260&lt;&gt;""),IF(INDEX(N:N,MATCH($C260,$P:$P,0),1)&lt;&gt;"",$E260*INDEX(N:N,MATCH($C260,$P:$P,0),1)+$G260,""),AND($B260&lt;&gt;"",$D260="COST",$G260&lt;0),$G260,TRUE,)</f>
        <v>-505.39</v>
      </c>
      <c r="J260" s="171">
        <f t="shared" si="262"/>
        <v>-236.6861765</v>
      </c>
      <c r="K260" s="283" t="str">
        <f t="shared" si="3"/>
        <v>iShares Treasury Bond 20+ UCITS USD Dist</v>
      </c>
      <c r="L260" s="284">
        <f t="shared" si="4"/>
        <v>0</v>
      </c>
      <c r="M260" s="285">
        <f t="shared" si="5"/>
        <v>27424.27</v>
      </c>
      <c r="N260" s="286" t="str">
        <f>IF($P260&lt;&gt;"",IF(MAXIFS(Investment!$M:$M,Investment!$H:$H,LEFT($P260,30)&amp;"*"),MAXIFS(Investment!$M:$M,Investment!$H:$H,LEFT($P260,30)&amp;"*"),),)</f>
        <v/>
      </c>
      <c r="O260" s="287" t="str">
        <f>IF($P260&lt;&gt;"",IF(MAXIFS(Investment!$AI:$AI,Investment!$H:$H,LEFT($P260,30)&amp;"*"),MAXIFS(Investment!$AI:$AI,Investment!$H:$H,LEFT($P260,30)&amp;"*"),),)</f>
        <v/>
      </c>
      <c r="P260" s="283"/>
      <c r="Q260" s="284"/>
      <c r="R260" s="288"/>
    </row>
    <row r="261">
      <c r="A261" s="165">
        <v>43532.0</v>
      </c>
      <c r="B261" s="55" t="s">
        <v>118</v>
      </c>
      <c r="C261" s="55" t="s">
        <v>120</v>
      </c>
      <c r="D261" s="55" t="s">
        <v>332</v>
      </c>
      <c r="E261" s="50">
        <v>185.0</v>
      </c>
      <c r="F261" s="169">
        <v>7.298</v>
      </c>
      <c r="G261" s="170">
        <v>-1350.13</v>
      </c>
      <c r="H261" s="167" t="s">
        <v>718</v>
      </c>
      <c r="I261" s="171">
        <f t="shared" ref="I261:J261" si="263">IFS(AND($B261&lt;&gt;"",$E261&lt;&gt;""),IF(INDEX(N:N,MATCH($C261,$P:$P,0),1)&lt;&gt;"",$E261*INDEX(N:N,MATCH($C261,$P:$P,0),1)+$G261,""),AND($B261&lt;&gt;"",$D261="COST",$G261&lt;0),$G261,TRUE,)</f>
        <v>15.17</v>
      </c>
      <c r="J261" s="171">
        <f t="shared" si="263"/>
        <v>-9.43427451</v>
      </c>
      <c r="K261" s="283" t="str">
        <f t="shared" si="3"/>
        <v>ETFS All Commodities ETC</v>
      </c>
      <c r="L261" s="284">
        <f t="shared" si="4"/>
        <v>11745</v>
      </c>
      <c r="M261" s="285">
        <f t="shared" si="5"/>
        <v>-84366.02</v>
      </c>
      <c r="N261" s="286" t="str">
        <f>IF($P261&lt;&gt;"",IF(MAXIFS(Investment!$M:$M,Investment!$H:$H,LEFT($P261,30)&amp;"*"),MAXIFS(Investment!$M:$M,Investment!$H:$H,LEFT($P261,30)&amp;"*"),),)</f>
        <v/>
      </c>
      <c r="O261" s="287" t="str">
        <f>IF($P261&lt;&gt;"",IF(MAXIFS(Investment!$AI:$AI,Investment!$H:$H,LEFT($P261,30)&amp;"*"),MAXIFS(Investment!$AI:$AI,Investment!$H:$H,LEFT($P261,30)&amp;"*"),),)</f>
        <v/>
      </c>
      <c r="P261" s="283"/>
      <c r="Q261" s="284"/>
      <c r="R261" s="288"/>
    </row>
    <row r="262">
      <c r="A262" s="165">
        <v>43532.0</v>
      </c>
      <c r="B262" s="55" t="s">
        <v>127</v>
      </c>
      <c r="C262" s="55" t="s">
        <v>128</v>
      </c>
      <c r="D262" s="55" t="s">
        <v>280</v>
      </c>
      <c r="E262" s="50">
        <v>-8.0</v>
      </c>
      <c r="F262" s="169">
        <v>172.6</v>
      </c>
      <c r="G262" s="170">
        <v>1380.8</v>
      </c>
      <c r="H262" s="167" t="s">
        <v>719</v>
      </c>
      <c r="I262" s="171">
        <f t="shared" ref="I262:J262" si="264">IFS(AND($B262&lt;&gt;"",$E262&lt;&gt;""),IF(INDEX(N:N,MATCH($C262,$P:$P,0),1)&lt;&gt;"",$E262*INDEX(N:N,MATCH($C262,$P:$P,0),1)+$G262,""),AND($B262&lt;&gt;"",$D262="COST",$G262&lt;0),$G262,TRUE,)</f>
        <v>-101.36</v>
      </c>
      <c r="J262" s="171">
        <f t="shared" si="264"/>
        <v>-33.53694118</v>
      </c>
      <c r="K262" s="283" t="str">
        <f t="shared" si="3"/>
        <v>iShares Treasury Bond 7-10 UCITS</v>
      </c>
      <c r="L262" s="284">
        <f t="shared" si="4"/>
        <v>547</v>
      </c>
      <c r="M262" s="285">
        <f t="shared" si="5"/>
        <v>-81771.76</v>
      </c>
      <c r="N262" s="286" t="str">
        <f>IF($P262&lt;&gt;"",IF(MAXIFS(Investment!$M:$M,Investment!$H:$H,LEFT($P262,30)&amp;"*"),MAXIFS(Investment!$M:$M,Investment!$H:$H,LEFT($P262,30)&amp;"*"),),)</f>
        <v/>
      </c>
      <c r="O262" s="287" t="str">
        <f>IF($P262&lt;&gt;"",IF(MAXIFS(Investment!$AI:$AI,Investment!$H:$H,LEFT($P262,30)&amp;"*"),MAXIFS(Investment!$AI:$AI,Investment!$H:$H,LEFT($P262,30)&amp;"*"),),)</f>
        <v/>
      </c>
      <c r="P262" s="283"/>
      <c r="Q262" s="284"/>
      <c r="R262" s="288"/>
    </row>
    <row r="263">
      <c r="A263" s="165">
        <v>43531.0</v>
      </c>
      <c r="B263" s="55" t="s">
        <v>134</v>
      </c>
      <c r="C263" s="55" t="s">
        <v>710</v>
      </c>
      <c r="D263" s="55" t="s">
        <v>280</v>
      </c>
      <c r="E263" s="50">
        <v>-10.0</v>
      </c>
      <c r="F263" s="169">
        <v>4.041</v>
      </c>
      <c r="G263" s="170">
        <v>40.41</v>
      </c>
      <c r="H263" s="167" t="s">
        <v>720</v>
      </c>
      <c r="I263" s="171">
        <f t="shared" ref="I263:J263" si="265">IFS(AND($B263&lt;&gt;"",$E263&lt;&gt;""),IF(INDEX(N:N,MATCH($C263,$P:$P,0),1)&lt;&gt;"",$E263*INDEX(N:N,MATCH($C263,$P:$P,0),1)+$G263,""),AND($B263&lt;&gt;"",$D263="COST",$G263&lt;0),$G263,TRUE,)</f>
        <v>-5.75</v>
      </c>
      <c r="J263" s="171">
        <f t="shared" si="265"/>
        <v>-2.764401961</v>
      </c>
      <c r="K263" s="283" t="str">
        <f t="shared" si="3"/>
        <v>iShares Treasury Bond 20+ UCITS USD Dist</v>
      </c>
      <c r="L263" s="284">
        <f t="shared" si="4"/>
        <v>0</v>
      </c>
      <c r="M263" s="285">
        <f t="shared" si="5"/>
        <v>27424.27</v>
      </c>
      <c r="N263" s="286" t="str">
        <f>IF($P263&lt;&gt;"",IF(MAXIFS(Investment!$M:$M,Investment!$H:$H,LEFT($P263,30)&amp;"*"),MAXIFS(Investment!$M:$M,Investment!$H:$H,LEFT($P263,30)&amp;"*"),),)</f>
        <v/>
      </c>
      <c r="O263" s="287" t="str">
        <f>IF($P263&lt;&gt;"",IF(MAXIFS(Investment!$AI:$AI,Investment!$H:$H,LEFT($P263,30)&amp;"*"),MAXIFS(Investment!$AI:$AI,Investment!$H:$H,LEFT($P263,30)&amp;"*"),),)</f>
        <v/>
      </c>
      <c r="P263" s="283"/>
      <c r="Q263" s="284"/>
      <c r="R263" s="288"/>
    </row>
    <row r="264">
      <c r="A264" s="165">
        <v>43531.0</v>
      </c>
      <c r="B264" s="55" t="s">
        <v>134</v>
      </c>
      <c r="C264" s="55" t="s">
        <v>710</v>
      </c>
      <c r="D264" s="55" t="s">
        <v>301</v>
      </c>
      <c r="E264" s="50"/>
      <c r="F264" s="169"/>
      <c r="G264" s="170">
        <v>-2.01</v>
      </c>
      <c r="H264" s="167" t="s">
        <v>721</v>
      </c>
      <c r="I264" s="171">
        <f t="shared" ref="I264:J264" si="266">IFS(AND($B264&lt;&gt;"",$E264&lt;&gt;""),IF(INDEX(N:N,MATCH($C264,$P:$P,0),1)&lt;&gt;"",$E264*INDEX(N:N,MATCH($C264,$P:$P,0),1)+$G264,""),AND($B264&lt;&gt;"",$D264="COST",$G264&lt;0),$G264,TRUE,)</f>
        <v>-2.01</v>
      </c>
      <c r="J264" s="171">
        <f t="shared" si="266"/>
        <v>-2.01</v>
      </c>
      <c r="K264" s="283" t="str">
        <f t="shared" si="3"/>
        <v>iShares Treasury Bond 20+ UCITS USD Dist</v>
      </c>
      <c r="L264" s="284">
        <f t="shared" si="4"/>
        <v>0</v>
      </c>
      <c r="M264" s="285">
        <f t="shared" si="5"/>
        <v>27424.27</v>
      </c>
      <c r="N264" s="286" t="str">
        <f>IF($P264&lt;&gt;"",IF(MAXIFS(Investment!$M:$M,Investment!$H:$H,LEFT($P264,30)&amp;"*"),MAXIFS(Investment!$M:$M,Investment!$H:$H,LEFT($P264,30)&amp;"*"),),)</f>
        <v/>
      </c>
      <c r="O264" s="287" t="str">
        <f>IF($P264&lt;&gt;"",IF(MAXIFS(Investment!$AI:$AI,Investment!$H:$H,LEFT($P264,30)&amp;"*"),MAXIFS(Investment!$AI:$AI,Investment!$H:$H,LEFT($P264,30)&amp;"*"),),)</f>
        <v/>
      </c>
      <c r="P264" s="283"/>
      <c r="Q264" s="284"/>
      <c r="R264" s="288"/>
    </row>
    <row r="265">
      <c r="A265" s="165">
        <v>43530.0</v>
      </c>
      <c r="B265" s="55" t="s">
        <v>127</v>
      </c>
      <c r="C265" s="55" t="s">
        <v>128</v>
      </c>
      <c r="D265" s="55" t="s">
        <v>280</v>
      </c>
      <c r="E265" s="50">
        <v>-6.0</v>
      </c>
      <c r="F265" s="169">
        <v>169.9</v>
      </c>
      <c r="G265" s="170">
        <v>1019.4</v>
      </c>
      <c r="H265" s="167" t="s">
        <v>722</v>
      </c>
      <c r="I265" s="171">
        <f t="shared" ref="I265:J265" si="267">IFS(AND($B265&lt;&gt;"",$E265&lt;&gt;""),IF(INDEX(N:N,MATCH($C265,$P:$P,0),1)&lt;&gt;"",$E265*INDEX(N:N,MATCH($C265,$P:$P,0),1)+$G265,""),AND($B265&lt;&gt;"",$D265="COST",$G265&lt;0),$G265,TRUE,)</f>
        <v>-92.22</v>
      </c>
      <c r="J265" s="171">
        <f t="shared" si="267"/>
        <v>-41.35270588</v>
      </c>
      <c r="K265" s="283" t="str">
        <f t="shared" si="3"/>
        <v>iShares Treasury Bond 7-10 UCITS</v>
      </c>
      <c r="L265" s="284">
        <f t="shared" si="4"/>
        <v>547</v>
      </c>
      <c r="M265" s="285">
        <f t="shared" si="5"/>
        <v>-81771.76</v>
      </c>
      <c r="N265" s="286" t="str">
        <f>IF($P265&lt;&gt;"",IF(MAXIFS(Investment!$M:$M,Investment!$H:$H,LEFT($P265,30)&amp;"*"),MAXIFS(Investment!$M:$M,Investment!$H:$H,LEFT($P265,30)&amp;"*"),),)</f>
        <v/>
      </c>
      <c r="O265" s="287" t="str">
        <f>IF($P265&lt;&gt;"",IF(MAXIFS(Investment!$AI:$AI,Investment!$H:$H,LEFT($P265,30)&amp;"*"),MAXIFS(Investment!$AI:$AI,Investment!$H:$H,LEFT($P265,30)&amp;"*"),),)</f>
        <v/>
      </c>
      <c r="P265" s="283"/>
      <c r="Q265" s="284"/>
      <c r="R265" s="288"/>
    </row>
    <row r="266">
      <c r="A266" s="165">
        <v>43529.0</v>
      </c>
      <c r="B266" s="55"/>
      <c r="C266" s="55"/>
      <c r="D266" s="55" t="s">
        <v>299</v>
      </c>
      <c r="E266" s="50"/>
      <c r="F266" s="169"/>
      <c r="G266" s="170">
        <v>-700.0</v>
      </c>
      <c r="H266" s="167" t="s">
        <v>723</v>
      </c>
      <c r="I266" s="171" t="str">
        <f t="shared" ref="I266:J266" si="268">IFS(AND($B266&lt;&gt;"",$E266&lt;&gt;""),IF(INDEX(N:N,MATCH($C266,$P:$P,0),1)&lt;&gt;"",$E266*INDEX(N:N,MATCH($C266,$P:$P,0),1)+$G266,""),AND($B266&lt;&gt;"",$D266="COST",$G266&lt;0),$G266,TRUE,)</f>
        <v/>
      </c>
      <c r="J266" s="171" t="str">
        <f t="shared" si="268"/>
        <v/>
      </c>
      <c r="K266" s="283" t="str">
        <f t="shared" si="3"/>
        <v/>
      </c>
      <c r="L266" s="284" t="str">
        <f t="shared" si="4"/>
        <v/>
      </c>
      <c r="M266" s="285" t="str">
        <f t="shared" si="5"/>
        <v/>
      </c>
      <c r="N266" s="286" t="str">
        <f>IF($P266&lt;&gt;"",IF(MAXIFS(Investment!$M:$M,Investment!$H:$H,LEFT($P266,30)&amp;"*"),MAXIFS(Investment!$M:$M,Investment!$H:$H,LEFT($P266,30)&amp;"*"),),)</f>
        <v/>
      </c>
      <c r="O266" s="287" t="str">
        <f>IF($P266&lt;&gt;"",IF(MAXIFS(Investment!$AI:$AI,Investment!$H:$H,LEFT($P266,30)&amp;"*"),MAXIFS(Investment!$AI:$AI,Investment!$H:$H,LEFT($P266,30)&amp;"*"),),)</f>
        <v/>
      </c>
      <c r="P266" s="283"/>
      <c r="Q266" s="284"/>
      <c r="R266" s="288"/>
    </row>
    <row r="267">
      <c r="A267" s="165">
        <v>43528.0</v>
      </c>
      <c r="B267" s="55" t="s">
        <v>138</v>
      </c>
      <c r="C267" s="55" t="s">
        <v>139</v>
      </c>
      <c r="D267" s="55" t="s">
        <v>280</v>
      </c>
      <c r="E267" s="50">
        <v>-75.0</v>
      </c>
      <c r="F267" s="169">
        <v>47.18</v>
      </c>
      <c r="G267" s="170">
        <v>3538.5</v>
      </c>
      <c r="H267" s="167" t="s">
        <v>724</v>
      </c>
      <c r="I267" s="171">
        <f t="shared" ref="I267:J267" si="269">IFS(AND($B267&lt;&gt;"",$E267&lt;&gt;""),IF(INDEX(N:N,MATCH($C267,$P:$P,0),1)&lt;&gt;"",$E267*INDEX(N:N,MATCH($C267,$P:$P,0),1)+$G267,""),AND($B267&lt;&gt;"",$D267="COST",$G267&lt;0),$G267,TRUE,)</f>
        <v>-457.875</v>
      </c>
      <c r="J267" s="171">
        <f t="shared" si="269"/>
        <v>-71.83382353</v>
      </c>
      <c r="K267" s="283" t="str">
        <f t="shared" si="3"/>
        <v>Vanguard S&amp;P 500 UCITS</v>
      </c>
      <c r="L267" s="284">
        <f t="shared" si="4"/>
        <v>3715</v>
      </c>
      <c r="M267" s="285">
        <f t="shared" si="5"/>
        <v>-151722.66</v>
      </c>
      <c r="N267" s="286" t="str">
        <f>IF($P267&lt;&gt;"",IF(MAXIFS(Investment!$M:$M,Investment!$H:$H,LEFT($P267,30)&amp;"*"),MAXIFS(Investment!$M:$M,Investment!$H:$H,LEFT($P267,30)&amp;"*"),),)</f>
        <v/>
      </c>
      <c r="O267" s="287" t="str">
        <f>IF($P267&lt;&gt;"",IF(MAXIFS(Investment!$AI:$AI,Investment!$H:$H,LEFT($P267,30)&amp;"*"),MAXIFS(Investment!$AI:$AI,Investment!$H:$H,LEFT($P267,30)&amp;"*"),),)</f>
        <v/>
      </c>
      <c r="P267" s="283"/>
      <c r="Q267" s="284"/>
      <c r="R267" s="288"/>
    </row>
    <row r="268">
      <c r="A268" s="165">
        <v>43524.0</v>
      </c>
      <c r="B268" s="166"/>
      <c r="C268" s="166"/>
      <c r="D268" s="166" t="s">
        <v>301</v>
      </c>
      <c r="E268" s="264"/>
      <c r="F268" s="290"/>
      <c r="G268" s="170">
        <v>-534.72</v>
      </c>
      <c r="H268" s="167" t="s">
        <v>725</v>
      </c>
      <c r="I268" s="171" t="str">
        <f t="shared" ref="I268:J268" si="270">IFS(AND($B268&lt;&gt;"",$E268&lt;&gt;""),IF(INDEX(N:N,MATCH($C268,$P:$P,0),1)&lt;&gt;"",$E268*INDEX(N:N,MATCH($C268,$P:$P,0),1)+$G268,""),AND($B268&lt;&gt;"",$D268="COST",$G268&lt;0),$G268,TRUE,)</f>
        <v/>
      </c>
      <c r="J268" s="171" t="str">
        <f t="shared" si="270"/>
        <v/>
      </c>
      <c r="K268" s="283" t="str">
        <f t="shared" si="3"/>
        <v/>
      </c>
      <c r="L268" s="284" t="str">
        <f t="shared" si="4"/>
        <v/>
      </c>
      <c r="M268" s="285" t="str">
        <f t="shared" si="5"/>
        <v/>
      </c>
      <c r="N268" s="286" t="str">
        <f>IF($P268&lt;&gt;"",IF(MAXIFS(Investment!$M:$M,Investment!$H:$H,LEFT($P268,30)&amp;"*"),MAXIFS(Investment!$M:$M,Investment!$H:$H,LEFT($P268,30)&amp;"*"),),)</f>
        <v/>
      </c>
      <c r="O268" s="287" t="str">
        <f>IF($P268&lt;&gt;"",IF(MAXIFS(Investment!$AI:$AI,Investment!$H:$H,LEFT($P268,30)&amp;"*"),MAXIFS(Investment!$AI:$AI,Investment!$H:$H,LEFT($P268,30)&amp;"*"),),)</f>
        <v/>
      </c>
      <c r="P268" s="283"/>
      <c r="Q268" s="284"/>
      <c r="R268" s="288"/>
    </row>
    <row r="269">
      <c r="A269" s="165">
        <v>43521.0</v>
      </c>
      <c r="B269" s="55" t="s">
        <v>138</v>
      </c>
      <c r="C269" s="55" t="s">
        <v>139</v>
      </c>
      <c r="D269" s="55" t="s">
        <v>280</v>
      </c>
      <c r="E269" s="50">
        <v>-29.0</v>
      </c>
      <c r="F269" s="169">
        <v>47.0248</v>
      </c>
      <c r="G269" s="170">
        <v>1363.72</v>
      </c>
      <c r="H269" s="167" t="s">
        <v>726</v>
      </c>
      <c r="I269" s="171">
        <f t="shared" ref="I269:J269" si="271">IFS(AND($B269&lt;&gt;"",$E269&lt;&gt;""),IF(INDEX(N:N,MATCH($C269,$P:$P,0),1)&lt;&gt;"",$E269*INDEX(N:N,MATCH($C269,$P:$P,0),1)+$G269,""),AND($B269&lt;&gt;"",$D269="COST",$G269&lt;0),$G269,TRUE,)</f>
        <v>-181.545</v>
      </c>
      <c r="J269" s="171">
        <f t="shared" si="271"/>
        <v>-32.2757451</v>
      </c>
      <c r="K269" s="283" t="str">
        <f t="shared" si="3"/>
        <v>Vanguard S&amp;P 500 UCITS</v>
      </c>
      <c r="L269" s="284">
        <f t="shared" si="4"/>
        <v>3715</v>
      </c>
      <c r="M269" s="285">
        <f t="shared" si="5"/>
        <v>-151722.66</v>
      </c>
      <c r="N269" s="286" t="str">
        <f>IF($P269&lt;&gt;"",IF(MAXIFS(Investment!$M:$M,Investment!$H:$H,LEFT($P269,30)&amp;"*"),MAXIFS(Investment!$M:$M,Investment!$H:$H,LEFT($P269,30)&amp;"*"),),)</f>
        <v/>
      </c>
      <c r="O269" s="287" t="str">
        <f>IF($P269&lt;&gt;"",IF(MAXIFS(Investment!$AI:$AI,Investment!$H:$H,LEFT($P269,30)&amp;"*"),MAXIFS(Investment!$AI:$AI,Investment!$H:$H,LEFT($P269,30)&amp;"*"),),)</f>
        <v/>
      </c>
      <c r="P269" s="283"/>
      <c r="Q269" s="284"/>
      <c r="R269" s="288"/>
    </row>
    <row r="270">
      <c r="A270" s="165">
        <v>43521.0</v>
      </c>
      <c r="B270" s="55" t="s">
        <v>138</v>
      </c>
      <c r="C270" s="55" t="s">
        <v>139</v>
      </c>
      <c r="D270" s="55" t="s">
        <v>280</v>
      </c>
      <c r="E270" s="50">
        <v>-1.0</v>
      </c>
      <c r="F270" s="169">
        <v>47.04</v>
      </c>
      <c r="G270" s="170">
        <v>47.04</v>
      </c>
      <c r="H270" s="167" t="s">
        <v>727</v>
      </c>
      <c r="I270" s="171">
        <f t="shared" ref="I270:J270" si="272">IFS(AND($B270&lt;&gt;"",$E270&lt;&gt;""),IF(INDEX(N:N,MATCH($C270,$P:$P,0),1)&lt;&gt;"",$E270*INDEX(N:N,MATCH($C270,$P:$P,0),1)+$G270,""),AND($B270&lt;&gt;"",$D270="COST",$G270&lt;0),$G270,TRUE,)</f>
        <v>-6.245</v>
      </c>
      <c r="J270" s="171">
        <f t="shared" si="272"/>
        <v>-1.097784314</v>
      </c>
      <c r="K270" s="283" t="str">
        <f t="shared" si="3"/>
        <v>Vanguard S&amp;P 500 UCITS</v>
      </c>
      <c r="L270" s="284">
        <f t="shared" si="4"/>
        <v>3715</v>
      </c>
      <c r="M270" s="285">
        <f t="shared" si="5"/>
        <v>-151722.66</v>
      </c>
      <c r="N270" s="286" t="str">
        <f>IF($P270&lt;&gt;"",IF(MAXIFS(Investment!$M:$M,Investment!$H:$H,LEFT($P270,30)&amp;"*"),MAXIFS(Investment!$M:$M,Investment!$H:$H,LEFT($P270,30)&amp;"*"),),)</f>
        <v/>
      </c>
      <c r="O270" s="287" t="str">
        <f>IF($P270&lt;&gt;"",IF(MAXIFS(Investment!$AI:$AI,Investment!$H:$H,LEFT($P270,30)&amp;"*"),MAXIFS(Investment!$AI:$AI,Investment!$H:$H,LEFT($P270,30)&amp;"*"),),)</f>
        <v/>
      </c>
      <c r="P270" s="283"/>
      <c r="Q270" s="284"/>
      <c r="R270" s="288"/>
    </row>
    <row r="271">
      <c r="A271" s="165">
        <v>43509.0</v>
      </c>
      <c r="B271" s="55" t="s">
        <v>138</v>
      </c>
      <c r="C271" s="55" t="s">
        <v>139</v>
      </c>
      <c r="D271" s="55" t="s">
        <v>280</v>
      </c>
      <c r="E271" s="50">
        <v>-45.0</v>
      </c>
      <c r="F271" s="169">
        <v>46.45</v>
      </c>
      <c r="G271" s="170">
        <v>2090.25</v>
      </c>
      <c r="H271" s="167" t="s">
        <v>728</v>
      </c>
      <c r="I271" s="171">
        <f t="shared" ref="I271:J271" si="273">IFS(AND($B271&lt;&gt;"",$E271&lt;&gt;""),IF(INDEX(N:N,MATCH($C271,$P:$P,0),1)&lt;&gt;"",$E271*INDEX(N:N,MATCH($C271,$P:$P,0),1)+$G271,""),AND($B271&lt;&gt;"",$D271="COST",$G271&lt;0),$G271,TRUE,)</f>
        <v>-307.575</v>
      </c>
      <c r="J271" s="171">
        <f t="shared" si="273"/>
        <v>-75.95029412</v>
      </c>
      <c r="K271" s="283" t="str">
        <f t="shared" si="3"/>
        <v>Vanguard S&amp;P 500 UCITS</v>
      </c>
      <c r="L271" s="284">
        <f t="shared" si="4"/>
        <v>3715</v>
      </c>
      <c r="M271" s="285">
        <f t="shared" si="5"/>
        <v>-151722.66</v>
      </c>
      <c r="N271" s="286" t="str">
        <f>IF($P271&lt;&gt;"",IF(MAXIFS(Investment!$M:$M,Investment!$H:$H,LEFT($P271,30)&amp;"*"),MAXIFS(Investment!$M:$M,Investment!$H:$H,LEFT($P271,30)&amp;"*"),),)</f>
        <v/>
      </c>
      <c r="O271" s="287" t="str">
        <f>IF($P271&lt;&gt;"",IF(MAXIFS(Investment!$AI:$AI,Investment!$H:$H,LEFT($P271,30)&amp;"*"),MAXIFS(Investment!$AI:$AI,Investment!$H:$H,LEFT($P271,30)&amp;"*"),),)</f>
        <v/>
      </c>
      <c r="P271" s="283"/>
      <c r="Q271" s="284"/>
      <c r="R271" s="288"/>
    </row>
    <row r="272">
      <c r="A272" s="165">
        <v>43509.0</v>
      </c>
      <c r="B272" s="55" t="s">
        <v>138</v>
      </c>
      <c r="C272" s="55" t="s">
        <v>139</v>
      </c>
      <c r="D272" s="55" t="s">
        <v>280</v>
      </c>
      <c r="E272" s="50">
        <v>-38.0</v>
      </c>
      <c r="F272" s="169">
        <v>46.135</v>
      </c>
      <c r="G272" s="170">
        <v>1753.13</v>
      </c>
      <c r="H272" s="167" t="s">
        <v>729</v>
      </c>
      <c r="I272" s="171">
        <f t="shared" ref="I272:J272" si="274">IFS(AND($B272&lt;&gt;"",$E272&lt;&gt;""),IF(INDEX(N:N,MATCH($C272,$P:$P,0),1)&lt;&gt;"",$E272*INDEX(N:N,MATCH($C272,$P:$P,0),1)+$G272,""),AND($B272&lt;&gt;"",$D272="COST",$G272&lt;0),$G272,TRUE,)</f>
        <v>-271.7</v>
      </c>
      <c r="J272" s="171">
        <f t="shared" si="274"/>
        <v>-76.10580392</v>
      </c>
      <c r="K272" s="283" t="str">
        <f t="shared" si="3"/>
        <v>Vanguard S&amp;P 500 UCITS</v>
      </c>
      <c r="L272" s="284">
        <f t="shared" si="4"/>
        <v>3715</v>
      </c>
      <c r="M272" s="285">
        <f t="shared" si="5"/>
        <v>-151722.66</v>
      </c>
      <c r="N272" s="286" t="str">
        <f>IF($P272&lt;&gt;"",IF(MAXIFS(Investment!$M:$M,Investment!$H:$H,LEFT($P272,30)&amp;"*"),MAXIFS(Investment!$M:$M,Investment!$H:$H,LEFT($P272,30)&amp;"*"),),)</f>
        <v/>
      </c>
      <c r="O272" s="287" t="str">
        <f>IF($P272&lt;&gt;"",IF(MAXIFS(Investment!$AI:$AI,Investment!$H:$H,LEFT($P272,30)&amp;"*"),MAXIFS(Investment!$AI:$AI,Investment!$H:$H,LEFT($P272,30)&amp;"*"),),)</f>
        <v/>
      </c>
      <c r="P272" s="283"/>
      <c r="Q272" s="284"/>
      <c r="R272" s="288"/>
    </row>
    <row r="273">
      <c r="A273" s="165">
        <v>43508.0</v>
      </c>
      <c r="B273" s="55" t="s">
        <v>138</v>
      </c>
      <c r="C273" s="55" t="s">
        <v>139</v>
      </c>
      <c r="D273" s="55" t="s">
        <v>280</v>
      </c>
      <c r="E273" s="50">
        <v>-14.0</v>
      </c>
      <c r="F273" s="169">
        <v>45.916</v>
      </c>
      <c r="G273" s="170">
        <v>642.83</v>
      </c>
      <c r="H273" s="167" t="s">
        <v>730</v>
      </c>
      <c r="I273" s="171">
        <f t="shared" ref="I273:J273" si="275">IFS(AND($B273&lt;&gt;"",$E273&lt;&gt;""),IF(INDEX(N:N,MATCH($C273,$P:$P,0),1)&lt;&gt;"",$E273*INDEX(N:N,MATCH($C273,$P:$P,0),1)+$G273,""),AND($B273&lt;&gt;"",$D273="COST",$G273&lt;0),$G273,TRUE,)</f>
        <v>-103.16</v>
      </c>
      <c r="J273" s="171">
        <f t="shared" si="275"/>
        <v>-31.09898039</v>
      </c>
      <c r="K273" s="283" t="str">
        <f t="shared" si="3"/>
        <v>Vanguard S&amp;P 500 UCITS</v>
      </c>
      <c r="L273" s="284">
        <f t="shared" si="4"/>
        <v>3715</v>
      </c>
      <c r="M273" s="285">
        <f t="shared" si="5"/>
        <v>-151722.66</v>
      </c>
      <c r="N273" s="286" t="str">
        <f>IF($P273&lt;&gt;"",IF(MAXIFS(Investment!$M:$M,Investment!$H:$H,LEFT($P273,30)&amp;"*"),MAXIFS(Investment!$M:$M,Investment!$H:$H,LEFT($P273,30)&amp;"*"),),)</f>
        <v/>
      </c>
      <c r="O273" s="287" t="str">
        <f>IF($P273&lt;&gt;"",IF(MAXIFS(Investment!$AI:$AI,Investment!$H:$H,LEFT($P273,30)&amp;"*"),MAXIFS(Investment!$AI:$AI,Investment!$H:$H,LEFT($P273,30)&amp;"*"),),)</f>
        <v/>
      </c>
      <c r="P273" s="283"/>
      <c r="Q273" s="284"/>
      <c r="R273" s="288"/>
    </row>
    <row r="274">
      <c r="A274" s="165">
        <v>43508.0</v>
      </c>
      <c r="B274" s="55" t="s">
        <v>118</v>
      </c>
      <c r="C274" s="55" t="s">
        <v>120</v>
      </c>
      <c r="D274" s="55" t="s">
        <v>332</v>
      </c>
      <c r="E274" s="50">
        <v>170.0</v>
      </c>
      <c r="F274" s="169">
        <v>7.213</v>
      </c>
      <c r="G274" s="170">
        <v>-1226.21</v>
      </c>
      <c r="H274" s="167" t="s">
        <v>731</v>
      </c>
      <c r="I274" s="171">
        <f t="shared" ref="I274:J274" si="276">IFS(AND($B274&lt;&gt;"",$E274&lt;&gt;""),IF(INDEX(N:N,MATCH($C274,$P:$P,0),1)&lt;&gt;"",$E274*INDEX(N:N,MATCH($C274,$P:$P,0),1)+$G274,""),AND($B274&lt;&gt;"",$D274="COST",$G274&lt;0),$G274,TRUE,)</f>
        <v>28.39</v>
      </c>
      <c r="J274" s="171">
        <f t="shared" si="276"/>
        <v>5.780666667</v>
      </c>
      <c r="K274" s="283" t="str">
        <f t="shared" si="3"/>
        <v>ETFS All Commodities ETC</v>
      </c>
      <c r="L274" s="284">
        <f t="shared" si="4"/>
        <v>11745</v>
      </c>
      <c r="M274" s="285">
        <f t="shared" si="5"/>
        <v>-84366.02</v>
      </c>
      <c r="N274" s="286" t="str">
        <f>IF($P274&lt;&gt;"",IF(MAXIFS(Investment!$M:$M,Investment!$H:$H,LEFT($P274,30)&amp;"*"),MAXIFS(Investment!$M:$M,Investment!$H:$H,LEFT($P274,30)&amp;"*"),),)</f>
        <v/>
      </c>
      <c r="O274" s="287" t="str">
        <f>IF($P274&lt;&gt;"",IF(MAXIFS(Investment!$AI:$AI,Investment!$H:$H,LEFT($P274,30)&amp;"*"),MAXIFS(Investment!$AI:$AI,Investment!$H:$H,LEFT($P274,30)&amp;"*"),),)</f>
        <v/>
      </c>
      <c r="P274" s="283"/>
      <c r="Q274" s="284"/>
      <c r="R274" s="288"/>
    </row>
    <row r="275">
      <c r="A275" s="165">
        <v>43508.0</v>
      </c>
      <c r="B275" s="55" t="s">
        <v>118</v>
      </c>
      <c r="C275" s="55" t="s">
        <v>120</v>
      </c>
      <c r="D275" s="55" t="s">
        <v>332</v>
      </c>
      <c r="E275" s="50">
        <v>30.0</v>
      </c>
      <c r="F275" s="169">
        <v>7.2139</v>
      </c>
      <c r="G275" s="170">
        <v>-216.42</v>
      </c>
      <c r="H275" s="167" t="s">
        <v>732</v>
      </c>
      <c r="I275" s="171">
        <f t="shared" ref="I275:J275" si="277">IFS(AND($B275&lt;&gt;"",$E275&lt;&gt;""),IF(INDEX(N:N,MATCH($C275,$P:$P,0),1)&lt;&gt;"",$E275*INDEX(N:N,MATCH($C275,$P:$P,0),1)+$G275,""),AND($B275&lt;&gt;"",$D275="COST",$G275&lt;0),$G275,TRUE,)</f>
        <v>4.98</v>
      </c>
      <c r="J275" s="171">
        <f t="shared" si="277"/>
        <v>0.9901176471</v>
      </c>
      <c r="K275" s="283" t="str">
        <f t="shared" si="3"/>
        <v>ETFS All Commodities ETC</v>
      </c>
      <c r="L275" s="284">
        <f t="shared" si="4"/>
        <v>11745</v>
      </c>
      <c r="M275" s="285">
        <f t="shared" si="5"/>
        <v>-84366.02</v>
      </c>
      <c r="N275" s="286" t="str">
        <f>IF($P275&lt;&gt;"",IF(MAXIFS(Investment!$M:$M,Investment!$H:$H,LEFT($P275,30)&amp;"*"),MAXIFS(Investment!$M:$M,Investment!$H:$H,LEFT($P275,30)&amp;"*"),),)</f>
        <v/>
      </c>
      <c r="O275" s="287" t="str">
        <f>IF($P275&lt;&gt;"",IF(MAXIFS(Investment!$AI:$AI,Investment!$H:$H,LEFT($P275,30)&amp;"*"),MAXIFS(Investment!$AI:$AI,Investment!$H:$H,LEFT($P275,30)&amp;"*"),),)</f>
        <v/>
      </c>
      <c r="P275" s="283"/>
      <c r="Q275" s="284"/>
      <c r="R275" s="288"/>
    </row>
    <row r="276">
      <c r="A276" s="165">
        <v>43508.0</v>
      </c>
      <c r="B276" s="55" t="s">
        <v>138</v>
      </c>
      <c r="C276" s="55" t="s">
        <v>139</v>
      </c>
      <c r="D276" s="55" t="s">
        <v>280</v>
      </c>
      <c r="E276" s="50">
        <v>-54.0</v>
      </c>
      <c r="F276" s="169">
        <v>45.9159</v>
      </c>
      <c r="G276" s="170">
        <v>2479.46</v>
      </c>
      <c r="H276" s="167" t="s">
        <v>733</v>
      </c>
      <c r="I276" s="171">
        <f t="shared" ref="I276:J276" si="278">IFS(AND($B276&lt;&gt;"",$E276&lt;&gt;""),IF(INDEX(N:N,MATCH($C276,$P:$P,0),1)&lt;&gt;"",$E276*INDEX(N:N,MATCH($C276,$P:$P,0),1)+$G276,""),AND($B276&lt;&gt;"",$D276="COST",$G276&lt;0),$G276,TRUE,)</f>
        <v>-397.93</v>
      </c>
      <c r="J276" s="171">
        <f t="shared" si="278"/>
        <v>-119.9803529</v>
      </c>
      <c r="K276" s="283" t="str">
        <f t="shared" si="3"/>
        <v>Vanguard S&amp;P 500 UCITS</v>
      </c>
      <c r="L276" s="284">
        <f t="shared" si="4"/>
        <v>3715</v>
      </c>
      <c r="M276" s="285">
        <f t="shared" si="5"/>
        <v>-151722.66</v>
      </c>
      <c r="N276" s="286" t="str">
        <f>IF($P276&lt;&gt;"",IF(MAXIFS(Investment!$M:$M,Investment!$H:$H,LEFT($P276,30)&amp;"*"),MAXIFS(Investment!$M:$M,Investment!$H:$H,LEFT($P276,30)&amp;"*"),),)</f>
        <v/>
      </c>
      <c r="O276" s="287" t="str">
        <f>IF($P276&lt;&gt;"",IF(MAXIFS(Investment!$AI:$AI,Investment!$H:$H,LEFT($P276,30)&amp;"*"),MAXIFS(Investment!$AI:$AI,Investment!$H:$H,LEFT($P276,30)&amp;"*"),),)</f>
        <v/>
      </c>
      <c r="P276" s="283"/>
      <c r="Q276" s="284"/>
      <c r="R276" s="288"/>
    </row>
    <row r="277">
      <c r="A277" s="165">
        <v>43504.0</v>
      </c>
      <c r="B277" s="55" t="s">
        <v>134</v>
      </c>
      <c r="C277" s="55" t="s">
        <v>710</v>
      </c>
      <c r="D277" s="55" t="s">
        <v>280</v>
      </c>
      <c r="E277" s="50">
        <v>-270.0</v>
      </c>
      <c r="F277" s="169">
        <v>4.038</v>
      </c>
      <c r="G277" s="170">
        <v>1090.17</v>
      </c>
      <c r="H277" s="167" t="s">
        <v>734</v>
      </c>
      <c r="I277" s="171">
        <f t="shared" ref="I277:J277" si="279">IFS(AND($B277&lt;&gt;"",$E277&lt;&gt;""),IF(INDEX(N:N,MATCH($C277,$P:$P,0),1)&lt;&gt;"",$E277*INDEX(N:N,MATCH($C277,$P:$P,0),1)+$G277,""),AND($B277&lt;&gt;"",$D277="COST",$G277&lt;0),$G277,TRUE,)</f>
        <v>-156.15</v>
      </c>
      <c r="J277" s="171">
        <f t="shared" si="279"/>
        <v>-75.53885294</v>
      </c>
      <c r="K277" s="283" t="str">
        <f t="shared" si="3"/>
        <v>iShares Treasury Bond 20+ UCITS USD Dist</v>
      </c>
      <c r="L277" s="284">
        <f t="shared" si="4"/>
        <v>0</v>
      </c>
      <c r="M277" s="285">
        <f t="shared" si="5"/>
        <v>27424.27</v>
      </c>
      <c r="N277" s="286" t="str">
        <f>IF($P277&lt;&gt;"",IF(MAXIFS(Investment!$M:$M,Investment!$H:$H,LEFT($P277,30)&amp;"*"),MAXIFS(Investment!$M:$M,Investment!$H:$H,LEFT($P277,30)&amp;"*"),),)</f>
        <v/>
      </c>
      <c r="O277" s="287" t="str">
        <f>IF($P277&lt;&gt;"",IF(MAXIFS(Investment!$AI:$AI,Investment!$H:$H,LEFT($P277,30)&amp;"*"),MAXIFS(Investment!$AI:$AI,Investment!$H:$H,LEFT($P277,30)&amp;"*"),),)</f>
        <v/>
      </c>
      <c r="P277" s="283"/>
      <c r="Q277" s="284"/>
      <c r="R277" s="288"/>
    </row>
    <row r="278">
      <c r="A278" s="165">
        <v>43504.0</v>
      </c>
      <c r="B278" s="55" t="s">
        <v>134</v>
      </c>
      <c r="C278" s="55" t="s">
        <v>710</v>
      </c>
      <c r="D278" s="55" t="s">
        <v>301</v>
      </c>
      <c r="E278" s="50"/>
      <c r="F278" s="169"/>
      <c r="G278" s="170">
        <v>-2.22</v>
      </c>
      <c r="H278" s="167" t="s">
        <v>657</v>
      </c>
      <c r="I278" s="171">
        <f t="shared" ref="I278:J278" si="280">IFS(AND($B278&lt;&gt;"",$E278&lt;&gt;""),IF(INDEX(N:N,MATCH($C278,$P:$P,0),1)&lt;&gt;"",$E278*INDEX(N:N,MATCH($C278,$P:$P,0),1)+$G278,""),AND($B278&lt;&gt;"",$D278="COST",$G278&lt;0),$G278,TRUE,)</f>
        <v>-2.22</v>
      </c>
      <c r="J278" s="171">
        <f t="shared" si="280"/>
        <v>-2.22</v>
      </c>
      <c r="K278" s="283" t="str">
        <f t="shared" si="3"/>
        <v>iShares Treasury Bond 20+ UCITS USD Dist</v>
      </c>
      <c r="L278" s="284">
        <f t="shared" si="4"/>
        <v>0</v>
      </c>
      <c r="M278" s="285">
        <f t="shared" si="5"/>
        <v>27424.27</v>
      </c>
      <c r="N278" s="286" t="str">
        <f>IF($P278&lt;&gt;"",IF(MAXIFS(Investment!$M:$M,Investment!$H:$H,LEFT($P278,30)&amp;"*"),MAXIFS(Investment!$M:$M,Investment!$H:$H,LEFT($P278,30)&amp;"*"),),)</f>
        <v/>
      </c>
      <c r="O278" s="287" t="str">
        <f>IF($P278&lt;&gt;"",IF(MAXIFS(Investment!$AI:$AI,Investment!$H:$H,LEFT($P278,30)&amp;"*"),MAXIFS(Investment!$AI:$AI,Investment!$H:$H,LEFT($P278,30)&amp;"*"),),)</f>
        <v/>
      </c>
      <c r="P278" s="283"/>
      <c r="Q278" s="284"/>
      <c r="R278" s="288"/>
    </row>
    <row r="279">
      <c r="A279" s="165">
        <v>43504.0</v>
      </c>
      <c r="B279" s="55" t="s">
        <v>127</v>
      </c>
      <c r="C279" s="55" t="s">
        <v>128</v>
      </c>
      <c r="D279" s="55" t="s">
        <v>280</v>
      </c>
      <c r="E279" s="50">
        <v>-6.0</v>
      </c>
      <c r="F279" s="169">
        <v>170.5</v>
      </c>
      <c r="G279" s="170">
        <v>1023.0</v>
      </c>
      <c r="H279" s="167" t="s">
        <v>735</v>
      </c>
      <c r="I279" s="171">
        <f t="shared" ref="I279:J279" si="281">IFS(AND($B279&lt;&gt;"",$E279&lt;&gt;""),IF(INDEX(N:N,MATCH($C279,$P:$P,0),1)&lt;&gt;"",$E279*INDEX(N:N,MATCH($C279,$P:$P,0),1)+$G279,""),AND($B279&lt;&gt;"",$D279="COST",$G279&lt;0),$G279,TRUE,)</f>
        <v>-88.62</v>
      </c>
      <c r="J279" s="171">
        <f t="shared" si="281"/>
        <v>-37.75270588</v>
      </c>
      <c r="K279" s="283" t="str">
        <f t="shared" si="3"/>
        <v>iShares Treasury Bond 7-10 UCITS</v>
      </c>
      <c r="L279" s="284">
        <f t="shared" si="4"/>
        <v>547</v>
      </c>
      <c r="M279" s="285">
        <f t="shared" si="5"/>
        <v>-81771.76</v>
      </c>
      <c r="N279" s="286" t="str">
        <f>IF($P279&lt;&gt;"",IF(MAXIFS(Investment!$M:$M,Investment!$H:$H,LEFT($P279,30)&amp;"*"),MAXIFS(Investment!$M:$M,Investment!$H:$H,LEFT($P279,30)&amp;"*"),),)</f>
        <v/>
      </c>
      <c r="O279" s="287" t="str">
        <f>IF($P279&lt;&gt;"",IF(MAXIFS(Investment!$AI:$AI,Investment!$H:$H,LEFT($P279,30)&amp;"*"),MAXIFS(Investment!$AI:$AI,Investment!$H:$H,LEFT($P279,30)&amp;"*"),),)</f>
        <v/>
      </c>
      <c r="P279" s="283"/>
      <c r="Q279" s="284"/>
      <c r="R279" s="288"/>
    </row>
    <row r="280">
      <c r="A280" s="165">
        <v>43504.0</v>
      </c>
      <c r="B280" s="55" t="s">
        <v>134</v>
      </c>
      <c r="C280" s="55" t="s">
        <v>710</v>
      </c>
      <c r="D280" s="55" t="s">
        <v>280</v>
      </c>
      <c r="E280" s="50">
        <v>-816.0</v>
      </c>
      <c r="F280" s="169">
        <v>4.031</v>
      </c>
      <c r="G280" s="170">
        <v>3289.3</v>
      </c>
      <c r="H280" s="167" t="s">
        <v>736</v>
      </c>
      <c r="I280" s="171">
        <f t="shared" ref="I280:J280" si="282">IFS(AND($B280&lt;&gt;"",$E280&lt;&gt;""),IF(INDEX(N:N,MATCH($C280,$P:$P,0),1)&lt;&gt;"",$E280*INDEX(N:N,MATCH($C280,$P:$P,0),1)+$G280,""),AND($B280&lt;&gt;"",$D280="COST",$G280&lt;0),$G280,TRUE,)</f>
        <v>-477.356</v>
      </c>
      <c r="J280" s="171">
        <f t="shared" si="282"/>
        <v>-233.7312</v>
      </c>
      <c r="K280" s="283" t="str">
        <f t="shared" si="3"/>
        <v>iShares Treasury Bond 20+ UCITS USD Dist</v>
      </c>
      <c r="L280" s="284">
        <f t="shared" si="4"/>
        <v>0</v>
      </c>
      <c r="M280" s="285">
        <f t="shared" si="5"/>
        <v>27424.27</v>
      </c>
      <c r="N280" s="286" t="str">
        <f>IF($P280&lt;&gt;"",IF(MAXIFS(Investment!$M:$M,Investment!$H:$H,LEFT($P280,30)&amp;"*"),MAXIFS(Investment!$M:$M,Investment!$H:$H,LEFT($P280,30)&amp;"*"),),)</f>
        <v/>
      </c>
      <c r="O280" s="287" t="str">
        <f>IF($P280&lt;&gt;"",IF(MAXIFS(Investment!$AI:$AI,Investment!$H:$H,LEFT($P280,30)&amp;"*"),MAXIFS(Investment!$AI:$AI,Investment!$H:$H,LEFT($P280,30)&amp;"*"),),)</f>
        <v/>
      </c>
      <c r="P280" s="283"/>
      <c r="Q280" s="284"/>
      <c r="R280" s="288"/>
    </row>
    <row r="281">
      <c r="A281" s="165">
        <v>43504.0</v>
      </c>
      <c r="B281" s="55" t="s">
        <v>134</v>
      </c>
      <c r="C281" s="55" t="s">
        <v>710</v>
      </c>
      <c r="D281" s="55" t="s">
        <v>301</v>
      </c>
      <c r="E281" s="50"/>
      <c r="F281" s="169"/>
      <c r="G281" s="170">
        <v>-2.66</v>
      </c>
      <c r="H281" s="167" t="s">
        <v>737</v>
      </c>
      <c r="I281" s="171">
        <f t="shared" ref="I281:J281" si="283">IFS(AND($B281&lt;&gt;"",$E281&lt;&gt;""),IF(INDEX(N:N,MATCH($C281,$P:$P,0),1)&lt;&gt;"",$E281*INDEX(N:N,MATCH($C281,$P:$P,0),1)+$G281,""),AND($B281&lt;&gt;"",$D281="COST",$G281&lt;0),$G281,TRUE,)</f>
        <v>-2.66</v>
      </c>
      <c r="J281" s="171">
        <f t="shared" si="283"/>
        <v>-2.66</v>
      </c>
      <c r="K281" s="283" t="str">
        <f t="shared" si="3"/>
        <v>iShares Treasury Bond 20+ UCITS USD Dist</v>
      </c>
      <c r="L281" s="284">
        <f t="shared" si="4"/>
        <v>0</v>
      </c>
      <c r="M281" s="285">
        <f t="shared" si="5"/>
        <v>27424.27</v>
      </c>
      <c r="N281" s="286" t="str">
        <f>IF($P281&lt;&gt;"",IF(MAXIFS(Investment!$M:$M,Investment!$H:$H,LEFT($P281,30)&amp;"*"),MAXIFS(Investment!$M:$M,Investment!$H:$H,LEFT($P281,30)&amp;"*"),),)</f>
        <v/>
      </c>
      <c r="O281" s="287" t="str">
        <f>IF($P281&lt;&gt;"",IF(MAXIFS(Investment!$AI:$AI,Investment!$H:$H,LEFT($P281,30)&amp;"*"),MAXIFS(Investment!$AI:$AI,Investment!$H:$H,LEFT($P281,30)&amp;"*"),),)</f>
        <v/>
      </c>
      <c r="P281" s="283"/>
      <c r="Q281" s="284"/>
      <c r="R281" s="288"/>
    </row>
    <row r="282">
      <c r="A282" s="165">
        <v>43503.0</v>
      </c>
      <c r="B282" s="55" t="s">
        <v>127</v>
      </c>
      <c r="C282" s="55" t="s">
        <v>128</v>
      </c>
      <c r="D282" s="55" t="s">
        <v>280</v>
      </c>
      <c r="E282" s="50">
        <v>-7.0</v>
      </c>
      <c r="F282" s="169">
        <v>169.97</v>
      </c>
      <c r="G282" s="170">
        <v>1189.79</v>
      </c>
      <c r="H282" s="167" t="s">
        <v>738</v>
      </c>
      <c r="I282" s="171">
        <f t="shared" ref="I282:J282" si="284">IFS(AND($B282&lt;&gt;"",$E282&lt;&gt;""),IF(INDEX(N:N,MATCH($C282,$P:$P,0),1)&lt;&gt;"",$E282*INDEX(N:N,MATCH($C282,$P:$P,0),1)+$G282,""),AND($B282&lt;&gt;"",$D282="COST",$G282&lt;0),$G282,TRUE,)</f>
        <v>-107.1</v>
      </c>
      <c r="J282" s="171">
        <f t="shared" si="284"/>
        <v>-47.75482353</v>
      </c>
      <c r="K282" s="283" t="str">
        <f t="shared" si="3"/>
        <v>iShares Treasury Bond 7-10 UCITS</v>
      </c>
      <c r="L282" s="284">
        <f t="shared" si="4"/>
        <v>547</v>
      </c>
      <c r="M282" s="285">
        <f t="shared" si="5"/>
        <v>-81771.76</v>
      </c>
      <c r="N282" s="286" t="str">
        <f>IF($P282&lt;&gt;"",IF(MAXIFS(Investment!$M:$M,Investment!$H:$H,LEFT($P282,30)&amp;"*"),MAXIFS(Investment!$M:$M,Investment!$H:$H,LEFT($P282,30)&amp;"*"),),)</f>
        <v/>
      </c>
      <c r="O282" s="287" t="str">
        <f>IF($P282&lt;&gt;"",IF(MAXIFS(Investment!$AI:$AI,Investment!$H:$H,LEFT($P282,30)&amp;"*"),MAXIFS(Investment!$AI:$AI,Investment!$H:$H,LEFT($P282,30)&amp;"*"),),)</f>
        <v/>
      </c>
      <c r="P282" s="283"/>
      <c r="Q282" s="284"/>
      <c r="R282" s="288"/>
    </row>
    <row r="283">
      <c r="A283" s="165">
        <v>43503.0</v>
      </c>
      <c r="B283" s="55" t="s">
        <v>134</v>
      </c>
      <c r="C283" s="55" t="s">
        <v>710</v>
      </c>
      <c r="D283" s="55" t="s">
        <v>280</v>
      </c>
      <c r="E283" s="50">
        <v>-500.0</v>
      </c>
      <c r="F283" s="169">
        <v>4.006</v>
      </c>
      <c r="G283" s="170">
        <v>2003.03</v>
      </c>
      <c r="H283" s="167" t="s">
        <v>739</v>
      </c>
      <c r="I283" s="171">
        <f t="shared" ref="I283:J283" si="285">IFS(AND($B283&lt;&gt;"",$E283&lt;&gt;""),IF(INDEX(N:N,MATCH($C283,$P:$P,0),1)&lt;&gt;"",$E283*INDEX(N:N,MATCH($C283,$P:$P,0),1)+$G283,""),AND($B283&lt;&gt;"",$D283="COST",$G283&lt;0),$G283,TRUE,)</f>
        <v>-304.97</v>
      </c>
      <c r="J283" s="171">
        <f t="shared" si="285"/>
        <v>-155.690098</v>
      </c>
      <c r="K283" s="283" t="str">
        <f t="shared" si="3"/>
        <v>iShares Treasury Bond 20+ UCITS USD Dist</v>
      </c>
      <c r="L283" s="284">
        <f t="shared" si="4"/>
        <v>0</v>
      </c>
      <c r="M283" s="285">
        <f t="shared" si="5"/>
        <v>27424.27</v>
      </c>
      <c r="N283" s="286" t="str">
        <f>IF($P283&lt;&gt;"",IF(MAXIFS(Investment!$M:$M,Investment!$H:$H,LEFT($P283,30)&amp;"*"),MAXIFS(Investment!$M:$M,Investment!$H:$H,LEFT($P283,30)&amp;"*"),),)</f>
        <v/>
      </c>
      <c r="O283" s="287" t="str">
        <f>IF($P283&lt;&gt;"",IF(MAXIFS(Investment!$AI:$AI,Investment!$H:$H,LEFT($P283,30)&amp;"*"),MAXIFS(Investment!$AI:$AI,Investment!$H:$H,LEFT($P283,30)&amp;"*"),),)</f>
        <v/>
      </c>
      <c r="P283" s="283"/>
      <c r="Q283" s="284"/>
      <c r="R283" s="288"/>
    </row>
    <row r="284">
      <c r="A284" s="165">
        <v>43503.0</v>
      </c>
      <c r="B284" s="55" t="s">
        <v>134</v>
      </c>
      <c r="C284" s="55" t="s">
        <v>710</v>
      </c>
      <c r="D284" s="55" t="s">
        <v>301</v>
      </c>
      <c r="E284" s="50"/>
      <c r="F284" s="169"/>
      <c r="G284" s="170">
        <v>-2.4</v>
      </c>
      <c r="H284" s="167" t="s">
        <v>740</v>
      </c>
      <c r="I284" s="171">
        <f t="shared" ref="I284:J284" si="286">IFS(AND($B284&lt;&gt;"",$E284&lt;&gt;""),IF(INDEX(N:N,MATCH($C284,$P:$P,0),1)&lt;&gt;"",$E284*INDEX(N:N,MATCH($C284,$P:$P,0),1)+$G284,""),AND($B284&lt;&gt;"",$D284="COST",$G284&lt;0),$G284,TRUE,)</f>
        <v>-2.4</v>
      </c>
      <c r="J284" s="171">
        <f t="shared" si="286"/>
        <v>-2.4</v>
      </c>
      <c r="K284" s="283" t="str">
        <f t="shared" si="3"/>
        <v>iShares Treasury Bond 20+ UCITS USD Dist</v>
      </c>
      <c r="L284" s="284">
        <f t="shared" si="4"/>
        <v>0</v>
      </c>
      <c r="M284" s="285">
        <f t="shared" si="5"/>
        <v>27424.27</v>
      </c>
      <c r="N284" s="286" t="str">
        <f>IF($P284&lt;&gt;"",IF(MAXIFS(Investment!$M:$M,Investment!$H:$H,LEFT($P284,30)&amp;"*"),MAXIFS(Investment!$M:$M,Investment!$H:$H,LEFT($P284,30)&amp;"*"),),)</f>
        <v/>
      </c>
      <c r="O284" s="287" t="str">
        <f>IF($P284&lt;&gt;"",IF(MAXIFS(Investment!$AI:$AI,Investment!$H:$H,LEFT($P284,30)&amp;"*"),MAXIFS(Investment!$AI:$AI,Investment!$H:$H,LEFT($P284,30)&amp;"*"),),)</f>
        <v/>
      </c>
      <c r="P284" s="283"/>
      <c r="Q284" s="284"/>
      <c r="R284" s="288"/>
    </row>
    <row r="285">
      <c r="A285" s="165">
        <v>43503.0</v>
      </c>
      <c r="B285" s="55" t="s">
        <v>134</v>
      </c>
      <c r="C285" s="55" t="s">
        <v>710</v>
      </c>
      <c r="D285" s="55" t="s">
        <v>301</v>
      </c>
      <c r="E285" s="50"/>
      <c r="F285" s="169"/>
      <c r="G285" s="170">
        <v>-2.2</v>
      </c>
      <c r="H285" s="167" t="s">
        <v>353</v>
      </c>
      <c r="I285" s="171">
        <f t="shared" ref="I285:J285" si="287">IFS(AND($B285&lt;&gt;"",$E285&lt;&gt;""),IF(INDEX(N:N,MATCH($C285,$P:$P,0),1)&lt;&gt;"",$E285*INDEX(N:N,MATCH($C285,$P:$P,0),1)+$G285,""),AND($B285&lt;&gt;"",$D285="COST",$G285&lt;0),$G285,TRUE,)</f>
        <v>-2.2</v>
      </c>
      <c r="J285" s="171">
        <f t="shared" si="287"/>
        <v>-2.2</v>
      </c>
      <c r="K285" s="283" t="str">
        <f t="shared" si="3"/>
        <v>iShares Treasury Bond 20+ UCITS USD Dist</v>
      </c>
      <c r="L285" s="284">
        <f t="shared" si="4"/>
        <v>0</v>
      </c>
      <c r="M285" s="285">
        <f t="shared" si="5"/>
        <v>27424.27</v>
      </c>
      <c r="N285" s="286" t="str">
        <f>IF($P285&lt;&gt;"",IF(MAXIFS(Investment!$M:$M,Investment!$H:$H,LEFT($P285,30)&amp;"*"),MAXIFS(Investment!$M:$M,Investment!$H:$H,LEFT($P285,30)&amp;"*"),),)</f>
        <v/>
      </c>
      <c r="O285" s="287" t="str">
        <f>IF($P285&lt;&gt;"",IF(MAXIFS(Investment!$AI:$AI,Investment!$H:$H,LEFT($P285,30)&amp;"*"),MAXIFS(Investment!$AI:$AI,Investment!$H:$H,LEFT($P285,30)&amp;"*"),),)</f>
        <v/>
      </c>
      <c r="P285" s="283"/>
      <c r="Q285" s="284"/>
      <c r="R285" s="288"/>
    </row>
    <row r="286">
      <c r="A286" s="165">
        <v>43503.0</v>
      </c>
      <c r="B286" s="55" t="s">
        <v>134</v>
      </c>
      <c r="C286" s="55" t="s">
        <v>710</v>
      </c>
      <c r="D286" s="55" t="s">
        <v>280</v>
      </c>
      <c r="E286" s="50">
        <v>-255.0</v>
      </c>
      <c r="F286" s="169">
        <v>3.992</v>
      </c>
      <c r="G286" s="170">
        <v>1017.88</v>
      </c>
      <c r="H286" s="167" t="s">
        <v>741</v>
      </c>
      <c r="I286" s="171">
        <f t="shared" ref="I286:J286" si="288">IFS(AND($B286&lt;&gt;"",$E286&lt;&gt;""),IF(INDEX(N:N,MATCH($C286,$P:$P,0),1)&lt;&gt;"",$E286*INDEX(N:N,MATCH($C286,$P:$P,0),1)+$G286,""),AND($B286&lt;&gt;"",$D286="COST",$G286&lt;0),$G286,TRUE,)</f>
        <v>-159.2</v>
      </c>
      <c r="J286" s="171">
        <f t="shared" si="288"/>
        <v>-83.06725</v>
      </c>
      <c r="K286" s="283" t="str">
        <f t="shared" si="3"/>
        <v>iShares Treasury Bond 20+ UCITS USD Dist</v>
      </c>
      <c r="L286" s="284">
        <f t="shared" si="4"/>
        <v>0</v>
      </c>
      <c r="M286" s="285">
        <f t="shared" si="5"/>
        <v>27424.27</v>
      </c>
      <c r="N286" s="286" t="str">
        <f>IF($P286&lt;&gt;"",IF(MAXIFS(Investment!$M:$M,Investment!$H:$H,LEFT($P286,30)&amp;"*"),MAXIFS(Investment!$M:$M,Investment!$H:$H,LEFT($P286,30)&amp;"*"),),)</f>
        <v/>
      </c>
      <c r="O286" s="287" t="str">
        <f>IF($P286&lt;&gt;"",IF(MAXIFS(Investment!$AI:$AI,Investment!$H:$H,LEFT($P286,30)&amp;"*"),MAXIFS(Investment!$AI:$AI,Investment!$H:$H,LEFT($P286,30)&amp;"*"),),)</f>
        <v/>
      </c>
      <c r="P286" s="283"/>
      <c r="Q286" s="284"/>
      <c r="R286" s="288"/>
    </row>
    <row r="287">
      <c r="A287" s="165">
        <v>43501.0</v>
      </c>
      <c r="B287" s="55" t="s">
        <v>138</v>
      </c>
      <c r="C287" s="55" t="s">
        <v>139</v>
      </c>
      <c r="D287" s="55" t="s">
        <v>280</v>
      </c>
      <c r="E287" s="50">
        <v>-27.0</v>
      </c>
      <c r="F287" s="169">
        <v>45.3759</v>
      </c>
      <c r="G287" s="170">
        <v>1225.15</v>
      </c>
      <c r="H287" s="167" t="s">
        <v>742</v>
      </c>
      <c r="I287" s="171">
        <f t="shared" ref="I287:J287" si="289">IFS(AND($B287&lt;&gt;"",$E287&lt;&gt;""),IF(INDEX(N:N,MATCH($C287,$P:$P,0),1)&lt;&gt;"",$E287*INDEX(N:N,MATCH($C287,$P:$P,0),1)+$G287,""),AND($B287&lt;&gt;"",$D287="COST",$G287&lt;0),$G287,TRUE,)</f>
        <v>-213.545</v>
      </c>
      <c r="J287" s="171">
        <f t="shared" si="289"/>
        <v>-74.57017647</v>
      </c>
      <c r="K287" s="283" t="str">
        <f t="shared" si="3"/>
        <v>Vanguard S&amp;P 500 UCITS</v>
      </c>
      <c r="L287" s="284">
        <f t="shared" si="4"/>
        <v>3715</v>
      </c>
      <c r="M287" s="285">
        <f t="shared" si="5"/>
        <v>-151722.66</v>
      </c>
      <c r="N287" s="286" t="str">
        <f>IF($P287&lt;&gt;"",IF(MAXIFS(Investment!$M:$M,Investment!$H:$H,LEFT($P287,30)&amp;"*"),MAXIFS(Investment!$M:$M,Investment!$H:$H,LEFT($P287,30)&amp;"*"),),)</f>
        <v/>
      </c>
      <c r="O287" s="287" t="str">
        <f>IF($P287&lt;&gt;"",IF(MAXIFS(Investment!$AI:$AI,Investment!$H:$H,LEFT($P287,30)&amp;"*"),MAXIFS(Investment!$AI:$AI,Investment!$H:$H,LEFT($P287,30)&amp;"*"),),)</f>
        <v/>
      </c>
      <c r="P287" s="283"/>
      <c r="Q287" s="284"/>
      <c r="R287" s="288"/>
    </row>
    <row r="288">
      <c r="A288" s="165">
        <v>43501.0</v>
      </c>
      <c r="B288" s="55"/>
      <c r="C288" s="55"/>
      <c r="D288" s="55" t="s">
        <v>299</v>
      </c>
      <c r="E288" s="50"/>
      <c r="F288" s="169"/>
      <c r="G288" s="170">
        <v>-400.0</v>
      </c>
      <c r="H288" s="167" t="s">
        <v>312</v>
      </c>
      <c r="I288" s="171" t="str">
        <f t="shared" ref="I288:J288" si="290">IFS(AND($B288&lt;&gt;"",$E288&lt;&gt;""),IF(INDEX(N:N,MATCH($C288,$P:$P,0),1)&lt;&gt;"",$E288*INDEX(N:N,MATCH($C288,$P:$P,0),1)+$G288,""),AND($B288&lt;&gt;"",$D288="COST",$G288&lt;0),$G288,TRUE,)</f>
        <v/>
      </c>
      <c r="J288" s="171" t="str">
        <f t="shared" si="290"/>
        <v/>
      </c>
      <c r="K288" s="283" t="str">
        <f t="shared" si="3"/>
        <v/>
      </c>
      <c r="L288" s="284" t="str">
        <f t="shared" si="4"/>
        <v/>
      </c>
      <c r="M288" s="285" t="str">
        <f t="shared" si="5"/>
        <v/>
      </c>
      <c r="N288" s="286" t="str">
        <f>IF($P288&lt;&gt;"",IF(MAXIFS(Investment!$M:$M,Investment!$H:$H,LEFT($P288,30)&amp;"*"),MAXIFS(Investment!$M:$M,Investment!$H:$H,LEFT($P288,30)&amp;"*"),),)</f>
        <v/>
      </c>
      <c r="O288" s="287" t="str">
        <f>IF($P288&lt;&gt;"",IF(MAXIFS(Investment!$AI:$AI,Investment!$H:$H,LEFT($P288,30)&amp;"*"),MAXIFS(Investment!$AI:$AI,Investment!$H:$H,LEFT($P288,30)&amp;"*"),),)</f>
        <v/>
      </c>
      <c r="P288" s="283"/>
      <c r="Q288" s="284"/>
      <c r="R288" s="288"/>
    </row>
    <row r="289">
      <c r="A289" s="165">
        <v>43497.0</v>
      </c>
      <c r="B289" s="55"/>
      <c r="C289" s="55"/>
      <c r="D289" s="55" t="s">
        <v>301</v>
      </c>
      <c r="E289" s="50"/>
      <c r="F289" s="169"/>
      <c r="G289" s="170">
        <v>-5.0</v>
      </c>
      <c r="H289" s="167" t="s">
        <v>743</v>
      </c>
      <c r="I289" s="171" t="str">
        <f t="shared" ref="I289:J289" si="291">IFS(AND($B289&lt;&gt;"",$E289&lt;&gt;""),IF(INDEX(N:N,MATCH($C289,$P:$P,0),1)&lt;&gt;"",$E289*INDEX(N:N,MATCH($C289,$P:$P,0),1)+$G289,""),AND($B289&lt;&gt;"",$D289="COST",$G289&lt;0),$G289,TRUE,)</f>
        <v/>
      </c>
      <c r="J289" s="171" t="str">
        <f t="shared" si="291"/>
        <v/>
      </c>
      <c r="K289" s="283" t="str">
        <f t="shared" si="3"/>
        <v/>
      </c>
      <c r="L289" s="284" t="str">
        <f t="shared" si="4"/>
        <v/>
      </c>
      <c r="M289" s="285" t="str">
        <f t="shared" si="5"/>
        <v/>
      </c>
      <c r="N289" s="286" t="str">
        <f>IF($P289&lt;&gt;"",IF(MAXIFS(Investment!$M:$M,Investment!$H:$H,LEFT($P289,30)&amp;"*"),MAXIFS(Investment!$M:$M,Investment!$H:$H,LEFT($P289,30)&amp;"*"),),)</f>
        <v/>
      </c>
      <c r="O289" s="287" t="str">
        <f>IF($P289&lt;&gt;"",IF(MAXIFS(Investment!$AI:$AI,Investment!$H:$H,LEFT($P289,30)&amp;"*"),MAXIFS(Investment!$AI:$AI,Investment!$H:$H,LEFT($P289,30)&amp;"*"),),)</f>
        <v/>
      </c>
      <c r="P289" s="283"/>
      <c r="Q289" s="284"/>
      <c r="R289" s="288"/>
    </row>
    <row r="290">
      <c r="A290" s="165">
        <v>43497.0</v>
      </c>
      <c r="B290" s="55" t="s">
        <v>138</v>
      </c>
      <c r="C290" s="55" t="s">
        <v>139</v>
      </c>
      <c r="D290" s="55" t="s">
        <v>280</v>
      </c>
      <c r="E290" s="50">
        <v>-45.0</v>
      </c>
      <c r="F290" s="169">
        <v>45.018</v>
      </c>
      <c r="G290" s="170">
        <v>2025.81</v>
      </c>
      <c r="H290" s="167" t="s">
        <v>744</v>
      </c>
      <c r="I290" s="171">
        <f t="shared" ref="I290:J290" si="292">IFS(AND($B290&lt;&gt;"",$E290&lt;&gt;""),IF(INDEX(N:N,MATCH($C290,$P:$P,0),1)&lt;&gt;"",$E290*INDEX(N:N,MATCH($C290,$P:$P,0),1)+$G290,""),AND($B290&lt;&gt;"",$D290="COST",$G290&lt;0),$G290,TRUE,)</f>
        <v>-372.015</v>
      </c>
      <c r="J290" s="171">
        <f t="shared" si="292"/>
        <v>-140.3902941</v>
      </c>
      <c r="K290" s="283" t="str">
        <f t="shared" si="3"/>
        <v>Vanguard S&amp;P 500 UCITS</v>
      </c>
      <c r="L290" s="284">
        <f t="shared" si="4"/>
        <v>3715</v>
      </c>
      <c r="M290" s="285">
        <f t="shared" si="5"/>
        <v>-151722.66</v>
      </c>
      <c r="N290" s="286" t="str">
        <f>IF($P290&lt;&gt;"",IF(MAXIFS(Investment!$M:$M,Investment!$H:$H,LEFT($P290,30)&amp;"*"),MAXIFS(Investment!$M:$M,Investment!$H:$H,LEFT($P290,30)&amp;"*"),),)</f>
        <v/>
      </c>
      <c r="O290" s="287" t="str">
        <f>IF($P290&lt;&gt;"",IF(MAXIFS(Investment!$AI:$AI,Investment!$H:$H,LEFT($P290,30)&amp;"*"),MAXIFS(Investment!$AI:$AI,Investment!$H:$H,LEFT($P290,30)&amp;"*"),),)</f>
        <v/>
      </c>
      <c r="P290" s="283"/>
      <c r="Q290" s="284"/>
      <c r="R290" s="288"/>
    </row>
    <row r="291">
      <c r="A291" s="165">
        <v>43497.0</v>
      </c>
      <c r="B291" s="55" t="s">
        <v>138</v>
      </c>
      <c r="C291" s="55" t="s">
        <v>139</v>
      </c>
      <c r="D291" s="55" t="s">
        <v>280</v>
      </c>
      <c r="E291" s="50">
        <v>-10.0</v>
      </c>
      <c r="F291" s="169">
        <v>44.797</v>
      </c>
      <c r="G291" s="170">
        <v>447.97</v>
      </c>
      <c r="H291" s="167" t="s">
        <v>745</v>
      </c>
      <c r="I291" s="171">
        <f t="shared" ref="I291:J291" si="293">IFS(AND($B291&lt;&gt;"",$E291&lt;&gt;""),IF(INDEX(N:N,MATCH($C291,$P:$P,0),1)&lt;&gt;"",$E291*INDEX(N:N,MATCH($C291,$P:$P,0),1)+$G291,""),AND($B291&lt;&gt;"",$D291="COST",$G291&lt;0),$G291,TRUE,)</f>
        <v>-84.88</v>
      </c>
      <c r="J291" s="171">
        <f t="shared" si="293"/>
        <v>-33.40784314</v>
      </c>
      <c r="K291" s="283" t="str">
        <f t="shared" si="3"/>
        <v>Vanguard S&amp;P 500 UCITS</v>
      </c>
      <c r="L291" s="284">
        <f t="shared" si="4"/>
        <v>3715</v>
      </c>
      <c r="M291" s="285">
        <f t="shared" si="5"/>
        <v>-151722.66</v>
      </c>
      <c r="N291" s="286" t="str">
        <f>IF($P291&lt;&gt;"",IF(MAXIFS(Investment!$M:$M,Investment!$H:$H,LEFT($P291,30)&amp;"*"),MAXIFS(Investment!$M:$M,Investment!$H:$H,LEFT($P291,30)&amp;"*"),),)</f>
        <v/>
      </c>
      <c r="O291" s="287" t="str">
        <f>IF($P291&lt;&gt;"",IF(MAXIFS(Investment!$AI:$AI,Investment!$H:$H,LEFT($P291,30)&amp;"*"),MAXIFS(Investment!$AI:$AI,Investment!$H:$H,LEFT($P291,30)&amp;"*"),),)</f>
        <v/>
      </c>
      <c r="P291" s="283"/>
      <c r="Q291" s="284"/>
      <c r="R291" s="288"/>
    </row>
    <row r="292">
      <c r="A292" s="165">
        <v>43497.0</v>
      </c>
      <c r="B292" s="55" t="s">
        <v>138</v>
      </c>
      <c r="C292" s="55" t="s">
        <v>139</v>
      </c>
      <c r="D292" s="55" t="s">
        <v>280</v>
      </c>
      <c r="E292" s="50">
        <v>-8.0</v>
      </c>
      <c r="F292" s="169">
        <v>44.7975</v>
      </c>
      <c r="G292" s="170">
        <v>358.38</v>
      </c>
      <c r="H292" s="167" t="s">
        <v>746</v>
      </c>
      <c r="I292" s="171">
        <f t="shared" ref="I292:J292" si="294">IFS(AND($B292&lt;&gt;"",$E292&lt;&gt;""),IF(INDEX(N:N,MATCH($C292,$P:$P,0),1)&lt;&gt;"",$E292*INDEX(N:N,MATCH($C292,$P:$P,0),1)+$G292,""),AND($B292&lt;&gt;"",$D292="COST",$G292&lt;0),$G292,TRUE,)</f>
        <v>-67.9</v>
      </c>
      <c r="J292" s="171">
        <f t="shared" si="294"/>
        <v>-26.72227451</v>
      </c>
      <c r="K292" s="283" t="str">
        <f t="shared" si="3"/>
        <v>Vanguard S&amp;P 500 UCITS</v>
      </c>
      <c r="L292" s="284">
        <f t="shared" si="4"/>
        <v>3715</v>
      </c>
      <c r="M292" s="285">
        <f t="shared" si="5"/>
        <v>-151722.66</v>
      </c>
      <c r="N292" s="286" t="str">
        <f>IF($P292&lt;&gt;"",IF(MAXIFS(Investment!$M:$M,Investment!$H:$H,LEFT($P292,30)&amp;"*"),MAXIFS(Investment!$M:$M,Investment!$H:$H,LEFT($P292,30)&amp;"*"),),)</f>
        <v/>
      </c>
      <c r="O292" s="287" t="str">
        <f>IF($P292&lt;&gt;"",IF(MAXIFS(Investment!$AI:$AI,Investment!$H:$H,LEFT($P292,30)&amp;"*"),MAXIFS(Investment!$AI:$AI,Investment!$H:$H,LEFT($P292,30)&amp;"*"),),)</f>
        <v/>
      </c>
      <c r="P292" s="283"/>
      <c r="Q292" s="284"/>
      <c r="R292" s="288"/>
    </row>
    <row r="293">
      <c r="A293" s="165">
        <v>43497.0</v>
      </c>
      <c r="B293" s="55" t="s">
        <v>138</v>
      </c>
      <c r="C293" s="55" t="s">
        <v>139</v>
      </c>
      <c r="D293" s="55" t="s">
        <v>280</v>
      </c>
      <c r="E293" s="50">
        <v>-5.0</v>
      </c>
      <c r="F293" s="169">
        <v>44.796</v>
      </c>
      <c r="G293" s="170">
        <v>223.98</v>
      </c>
      <c r="H293" s="167" t="s">
        <v>747</v>
      </c>
      <c r="I293" s="171">
        <f t="shared" ref="I293:J293" si="295">IFS(AND($B293&lt;&gt;"",$E293&lt;&gt;""),IF(INDEX(N:N,MATCH($C293,$P:$P,0),1)&lt;&gt;"",$E293*INDEX(N:N,MATCH($C293,$P:$P,0),1)+$G293,""),AND($B293&lt;&gt;"",$D293="COST",$G293&lt;0),$G293,TRUE,)</f>
        <v>-42.445</v>
      </c>
      <c r="J293" s="171">
        <f t="shared" si="295"/>
        <v>-16.70892157</v>
      </c>
      <c r="K293" s="283" t="str">
        <f t="shared" si="3"/>
        <v>Vanguard S&amp;P 500 UCITS</v>
      </c>
      <c r="L293" s="284">
        <f t="shared" si="4"/>
        <v>3715</v>
      </c>
      <c r="M293" s="285">
        <f t="shared" si="5"/>
        <v>-151722.66</v>
      </c>
      <c r="N293" s="286" t="str">
        <f>IF($P293&lt;&gt;"",IF(MAXIFS(Investment!$M:$M,Investment!$H:$H,LEFT($P293,30)&amp;"*"),MAXIFS(Investment!$M:$M,Investment!$H:$H,LEFT($P293,30)&amp;"*"),),)</f>
        <v/>
      </c>
      <c r="O293" s="287" t="str">
        <f>IF($P293&lt;&gt;"",IF(MAXIFS(Investment!$AI:$AI,Investment!$H:$H,LEFT($P293,30)&amp;"*"),MAXIFS(Investment!$AI:$AI,Investment!$H:$H,LEFT($P293,30)&amp;"*"),),)</f>
        <v/>
      </c>
      <c r="P293" s="283"/>
      <c r="Q293" s="284"/>
      <c r="R293" s="288"/>
    </row>
    <row r="294">
      <c r="A294" s="165">
        <v>43496.0</v>
      </c>
      <c r="B294" s="166"/>
      <c r="C294" s="167"/>
      <c r="D294" s="168" t="s">
        <v>301</v>
      </c>
      <c r="E294" s="168"/>
      <c r="F294" s="169"/>
      <c r="G294" s="170">
        <v>-5.0</v>
      </c>
      <c r="H294" s="167" t="s">
        <v>743</v>
      </c>
      <c r="I294" s="171" t="str">
        <f t="shared" ref="I294:J294" si="296">IFS(AND($B294&lt;&gt;"",$E294&lt;&gt;""),IF(INDEX(N:N,MATCH($C294,$P:$P,0),1)&lt;&gt;"",$E294*INDEX(N:N,MATCH($C294,$P:$P,0),1)+$G294,""),AND($B294&lt;&gt;"",$D294="COST",$G294&lt;0),$G294,TRUE,)</f>
        <v/>
      </c>
      <c r="J294" s="171" t="str">
        <f t="shared" si="296"/>
        <v/>
      </c>
      <c r="K294" s="283" t="str">
        <f t="shared" si="3"/>
        <v/>
      </c>
      <c r="L294" s="284" t="str">
        <f t="shared" si="4"/>
        <v/>
      </c>
      <c r="M294" s="285" t="str">
        <f t="shared" si="5"/>
        <v/>
      </c>
      <c r="N294" s="286" t="str">
        <f>IF($P294&lt;&gt;"",IF(MAXIFS(Investment!$M:$M,Investment!$H:$H,LEFT($P294,30)&amp;"*"),MAXIFS(Investment!$M:$M,Investment!$H:$H,LEFT($P294,30)&amp;"*"),),)</f>
        <v/>
      </c>
      <c r="O294" s="287" t="str">
        <f>IF($P294&lt;&gt;"",IF(MAXIFS(Investment!$AI:$AI,Investment!$H:$H,LEFT($P294,30)&amp;"*"),MAXIFS(Investment!$AI:$AI,Investment!$H:$H,LEFT($P294,30)&amp;"*"),),)</f>
        <v/>
      </c>
      <c r="P294" s="283"/>
      <c r="Q294" s="284"/>
      <c r="R294" s="288"/>
    </row>
    <row r="295">
      <c r="A295" s="165">
        <v>43496.0</v>
      </c>
      <c r="B295" s="166"/>
      <c r="C295" s="167"/>
      <c r="D295" s="168" t="s">
        <v>301</v>
      </c>
      <c r="E295" s="168"/>
      <c r="F295" s="169"/>
      <c r="G295" s="170">
        <v>5.0</v>
      </c>
      <c r="H295" s="167" t="s">
        <v>748</v>
      </c>
      <c r="I295" s="171" t="str">
        <f t="shared" ref="I295:J295" si="297">IFS(AND($B295&lt;&gt;"",$E295&lt;&gt;""),IF(INDEX(N:N,MATCH($C295,$P:$P,0),1)&lt;&gt;"",$E295*INDEX(N:N,MATCH($C295,$P:$P,0),1)+$G295,""),AND($B295&lt;&gt;"",$D295="COST",$G295&lt;0),$G295,TRUE,)</f>
        <v/>
      </c>
      <c r="J295" s="171" t="str">
        <f t="shared" si="297"/>
        <v/>
      </c>
      <c r="K295" s="283" t="str">
        <f t="shared" si="3"/>
        <v/>
      </c>
      <c r="L295" s="284" t="str">
        <f t="shared" si="4"/>
        <v/>
      </c>
      <c r="M295" s="285" t="str">
        <f t="shared" si="5"/>
        <v/>
      </c>
      <c r="N295" s="286" t="str">
        <f>IF($P295&lt;&gt;"",IF(MAXIFS(Investment!$M:$M,Investment!$H:$H,LEFT($P295,30)&amp;"*"),MAXIFS(Investment!$M:$M,Investment!$H:$H,LEFT($P295,30)&amp;"*"),),)</f>
        <v/>
      </c>
      <c r="O295" s="287" t="str">
        <f>IF($P295&lt;&gt;"",IF(MAXIFS(Investment!$AI:$AI,Investment!$H:$H,LEFT($P295,30)&amp;"*"),MAXIFS(Investment!$AI:$AI,Investment!$H:$H,LEFT($P295,30)&amp;"*"),),)</f>
        <v/>
      </c>
      <c r="P295" s="283"/>
      <c r="Q295" s="284"/>
      <c r="R295" s="288"/>
    </row>
    <row r="296">
      <c r="A296" s="165">
        <v>43496.0</v>
      </c>
      <c r="B296" s="166"/>
      <c r="C296" s="167"/>
      <c r="D296" s="168" t="s">
        <v>301</v>
      </c>
      <c r="E296" s="168"/>
      <c r="F296" s="169"/>
      <c r="G296" s="170">
        <v>-565.1</v>
      </c>
      <c r="H296" s="167" t="s">
        <v>749</v>
      </c>
      <c r="I296" s="171" t="str">
        <f t="shared" ref="I296:J296" si="298">IFS(AND($B296&lt;&gt;"",$E296&lt;&gt;""),IF(INDEX(N:N,MATCH($C296,$P:$P,0),1)&lt;&gt;"",$E296*INDEX(N:N,MATCH($C296,$P:$P,0),1)+$G296,""),AND($B296&lt;&gt;"",$D296="COST",$G296&lt;0),$G296,TRUE,)</f>
        <v/>
      </c>
      <c r="J296" s="171" t="str">
        <f t="shared" si="298"/>
        <v/>
      </c>
      <c r="K296" s="283" t="str">
        <f t="shared" si="3"/>
        <v/>
      </c>
      <c r="L296" s="284" t="str">
        <f t="shared" si="4"/>
        <v/>
      </c>
      <c r="M296" s="285" t="str">
        <f t="shared" si="5"/>
        <v/>
      </c>
      <c r="N296" s="286" t="str">
        <f>IF($P296&lt;&gt;"",IF(MAXIFS(Investment!$M:$M,Investment!$H:$H,LEFT($P296,30)&amp;"*"),MAXIFS(Investment!$M:$M,Investment!$H:$H,LEFT($P296,30)&amp;"*"),),)</f>
        <v/>
      </c>
      <c r="O296" s="287" t="str">
        <f>IF($P296&lt;&gt;"",IF(MAXIFS(Investment!$AI:$AI,Investment!$H:$H,LEFT($P296,30)&amp;"*"),MAXIFS(Investment!$AI:$AI,Investment!$H:$H,LEFT($P296,30)&amp;"*"),),)</f>
        <v/>
      </c>
      <c r="P296" s="283"/>
      <c r="Q296" s="284"/>
      <c r="R296" s="288"/>
    </row>
    <row r="297">
      <c r="A297" s="165">
        <v>43496.0</v>
      </c>
      <c r="B297" s="55" t="s">
        <v>138</v>
      </c>
      <c r="C297" s="55" t="s">
        <v>139</v>
      </c>
      <c r="D297" s="55" t="s">
        <v>301</v>
      </c>
      <c r="E297" s="50"/>
      <c r="F297" s="169"/>
      <c r="G297" s="170">
        <v>-3.89</v>
      </c>
      <c r="H297" s="167" t="s">
        <v>750</v>
      </c>
      <c r="I297" s="171">
        <f t="shared" ref="I297:J297" si="299">IFS(AND($B297&lt;&gt;"",$E297&lt;&gt;""),IF(INDEX(N:N,MATCH($C297,$P:$P,0),1)&lt;&gt;"",$E297*INDEX(N:N,MATCH($C297,$P:$P,0),1)+$G297,""),AND($B297&lt;&gt;"",$D297="COST",$G297&lt;0),$G297,TRUE,)</f>
        <v>-3.89</v>
      </c>
      <c r="J297" s="171">
        <f t="shared" si="299"/>
        <v>-3.89</v>
      </c>
      <c r="K297" s="283" t="str">
        <f t="shared" si="3"/>
        <v>Vanguard S&amp;P 500 UCITS</v>
      </c>
      <c r="L297" s="284">
        <f t="shared" si="4"/>
        <v>3715</v>
      </c>
      <c r="M297" s="285">
        <f t="shared" si="5"/>
        <v>-151722.66</v>
      </c>
      <c r="N297" s="286" t="str">
        <f>IF($P297&lt;&gt;"",IF(MAXIFS(Investment!$M:$M,Investment!$H:$H,LEFT($P297,30)&amp;"*"),MAXIFS(Investment!$M:$M,Investment!$H:$H,LEFT($P297,30)&amp;"*"),),)</f>
        <v/>
      </c>
      <c r="O297" s="287" t="str">
        <f>IF($P297&lt;&gt;"",IF(MAXIFS(Investment!$AI:$AI,Investment!$H:$H,LEFT($P297,30)&amp;"*"),MAXIFS(Investment!$AI:$AI,Investment!$H:$H,LEFT($P297,30)&amp;"*"),),)</f>
        <v/>
      </c>
      <c r="P297" s="283"/>
      <c r="Q297" s="284"/>
      <c r="R297" s="288"/>
    </row>
    <row r="298">
      <c r="A298" s="165">
        <v>43496.0</v>
      </c>
      <c r="B298" s="55" t="s">
        <v>138</v>
      </c>
      <c r="C298" s="55" t="s">
        <v>139</v>
      </c>
      <c r="D298" s="55" t="s">
        <v>280</v>
      </c>
      <c r="E298" s="50">
        <v>-213.0</v>
      </c>
      <c r="F298" s="169">
        <v>44.455</v>
      </c>
      <c r="G298" s="170">
        <v>9468.92</v>
      </c>
      <c r="H298" s="167" t="s">
        <v>751</v>
      </c>
      <c r="I298" s="171">
        <f t="shared" ref="I298:J298" si="300">IFS(AND($B298&lt;&gt;"",$E298&lt;&gt;""),IF(INDEX(N:N,MATCH($C298,$P:$P,0),1)&lt;&gt;"",$E298*INDEX(N:N,MATCH($C298,$P:$P,0),1)+$G298,""),AND($B298&lt;&gt;"",$D298="COST",$G298&lt;0),$G298,TRUE,)</f>
        <v>-1880.785</v>
      </c>
      <c r="J298" s="171">
        <f t="shared" si="300"/>
        <v>-784.4280588</v>
      </c>
      <c r="K298" s="283" t="str">
        <f t="shared" si="3"/>
        <v>Vanguard S&amp;P 500 UCITS</v>
      </c>
      <c r="L298" s="284">
        <f t="shared" si="4"/>
        <v>3715</v>
      </c>
      <c r="M298" s="285">
        <f t="shared" si="5"/>
        <v>-151722.66</v>
      </c>
      <c r="N298" s="286" t="str">
        <f>IF($P298&lt;&gt;"",IF(MAXIFS(Investment!$M:$M,Investment!$H:$H,LEFT($P298,30)&amp;"*"),MAXIFS(Investment!$M:$M,Investment!$H:$H,LEFT($P298,30)&amp;"*"),),)</f>
        <v/>
      </c>
      <c r="O298" s="287" t="str">
        <f>IF($P298&lt;&gt;"",IF(MAXIFS(Investment!$AI:$AI,Investment!$H:$H,LEFT($P298,30)&amp;"*"),MAXIFS(Investment!$AI:$AI,Investment!$H:$H,LEFT($P298,30)&amp;"*"),),)</f>
        <v/>
      </c>
      <c r="P298" s="283"/>
      <c r="Q298" s="284"/>
      <c r="R298" s="288"/>
    </row>
    <row r="299">
      <c r="A299" s="165">
        <v>43486.0</v>
      </c>
      <c r="B299" s="55" t="s">
        <v>138</v>
      </c>
      <c r="C299" s="55" t="s">
        <v>139</v>
      </c>
      <c r="D299" s="55" t="s">
        <v>301</v>
      </c>
      <c r="E299" s="50"/>
      <c r="F299" s="169"/>
      <c r="G299" s="170">
        <v>-0.26</v>
      </c>
      <c r="H299" s="167" t="s">
        <v>752</v>
      </c>
      <c r="I299" s="171">
        <f t="shared" ref="I299:J299" si="301">IFS(AND($B299&lt;&gt;"",$E299&lt;&gt;""),IF(INDEX(N:N,MATCH($C299,$P:$P,0),1)&lt;&gt;"",$E299*INDEX(N:N,MATCH($C299,$P:$P,0),1)+$G299,""),AND($B299&lt;&gt;"",$D299="COST",$G299&lt;0),$G299,TRUE,)</f>
        <v>-0.26</v>
      </c>
      <c r="J299" s="171">
        <f t="shared" si="301"/>
        <v>-0.26</v>
      </c>
      <c r="K299" s="283" t="str">
        <f t="shared" si="3"/>
        <v>Vanguard S&amp;P 500 UCITS</v>
      </c>
      <c r="L299" s="284">
        <f t="shared" si="4"/>
        <v>3715</v>
      </c>
      <c r="M299" s="285">
        <f t="shared" si="5"/>
        <v>-151722.66</v>
      </c>
      <c r="N299" s="286" t="str">
        <f>IF($P299&lt;&gt;"",IF(MAXIFS(Investment!$M:$M,Investment!$H:$H,LEFT($P299,30)&amp;"*"),MAXIFS(Investment!$M:$M,Investment!$H:$H,LEFT($P299,30)&amp;"*"),),)</f>
        <v/>
      </c>
      <c r="O299" s="287" t="str">
        <f>IF($P299&lt;&gt;"",IF(MAXIFS(Investment!$AI:$AI,Investment!$H:$H,LEFT($P299,30)&amp;"*"),MAXIFS(Investment!$AI:$AI,Investment!$H:$H,LEFT($P299,30)&amp;"*"),),)</f>
        <v/>
      </c>
      <c r="P299" s="283"/>
      <c r="Q299" s="284"/>
      <c r="R299" s="288"/>
    </row>
    <row r="300">
      <c r="A300" s="165">
        <v>43486.0</v>
      </c>
      <c r="B300" s="55" t="s">
        <v>138</v>
      </c>
      <c r="C300" s="55" t="s">
        <v>139</v>
      </c>
      <c r="D300" s="55" t="s">
        <v>280</v>
      </c>
      <c r="E300" s="50">
        <v>-29.0</v>
      </c>
      <c r="F300" s="294">
        <f t="shared" ref="F300:F302" si="303">IF(E300,-G300/E300,"")</f>
        <v>44.48586207</v>
      </c>
      <c r="G300" s="170">
        <v>1290.09</v>
      </c>
      <c r="H300" s="167" t="s">
        <v>753</v>
      </c>
      <c r="I300" s="171">
        <f t="shared" ref="I300:J300" si="302">IFS(AND($B300&lt;&gt;"",$E300&lt;&gt;""),IF(INDEX(N:N,MATCH($C300,$P:$P,0),1)&lt;&gt;"",$E300*INDEX(N:N,MATCH($C300,$P:$P,0),1)+$G300,""),AND($B300&lt;&gt;"",$D300="COST",$G300&lt;0),$G300,TRUE,)</f>
        <v>-255.175</v>
      </c>
      <c r="J300" s="171">
        <f t="shared" si="302"/>
        <v>-105.9057451</v>
      </c>
      <c r="K300" s="283" t="str">
        <f t="shared" si="3"/>
        <v>Vanguard S&amp;P 500 UCITS</v>
      </c>
      <c r="L300" s="284">
        <f t="shared" si="4"/>
        <v>3715</v>
      </c>
      <c r="M300" s="285">
        <f t="shared" si="5"/>
        <v>-151722.66</v>
      </c>
      <c r="N300" s="286" t="str">
        <f>IF($P300&lt;&gt;"",IF(MAXIFS(Investment!$M:$M,Investment!$H:$H,LEFT($P300,30)&amp;"*"),MAXIFS(Investment!$M:$M,Investment!$H:$H,LEFT($P300,30)&amp;"*"),),)</f>
        <v/>
      </c>
      <c r="O300" s="287" t="str">
        <f>IF($P300&lt;&gt;"",IF(MAXIFS(Investment!$AI:$AI,Investment!$H:$H,LEFT($P300,30)&amp;"*"),MAXIFS(Investment!$AI:$AI,Investment!$H:$H,LEFT($P300,30)&amp;"*"),),)</f>
        <v/>
      </c>
      <c r="P300" s="283"/>
      <c r="Q300" s="284"/>
      <c r="R300" s="288"/>
    </row>
    <row r="301">
      <c r="A301" s="165">
        <v>43486.0</v>
      </c>
      <c r="B301" s="55" t="s">
        <v>138</v>
      </c>
      <c r="C301" s="55" t="s">
        <v>139</v>
      </c>
      <c r="D301" s="55" t="s">
        <v>301</v>
      </c>
      <c r="E301" s="50"/>
      <c r="F301" s="294" t="str">
        <f t="shared" si="303"/>
        <v/>
      </c>
      <c r="G301" s="170">
        <v>-2.01</v>
      </c>
      <c r="H301" s="167" t="s">
        <v>754</v>
      </c>
      <c r="I301" s="171">
        <f t="shared" ref="I301:J301" si="304">IFS(AND($B301&lt;&gt;"",$E301&lt;&gt;""),IF(INDEX(N:N,MATCH($C301,$P:$P,0),1)&lt;&gt;"",$E301*INDEX(N:N,MATCH($C301,$P:$P,0),1)+$G301,""),AND($B301&lt;&gt;"",$D301="COST",$G301&lt;0),$G301,TRUE,)</f>
        <v>-2.01</v>
      </c>
      <c r="J301" s="171">
        <f t="shared" si="304"/>
        <v>-2.01</v>
      </c>
      <c r="K301" s="283" t="str">
        <f t="shared" si="3"/>
        <v>Vanguard S&amp;P 500 UCITS</v>
      </c>
      <c r="L301" s="284">
        <f t="shared" si="4"/>
        <v>3715</v>
      </c>
      <c r="M301" s="285">
        <f t="shared" si="5"/>
        <v>-151722.66</v>
      </c>
      <c r="N301" s="286" t="str">
        <f>IF($P301&lt;&gt;"",IF(MAXIFS(Investment!$M:$M,Investment!$H:$H,LEFT($P301,30)&amp;"*"),MAXIFS(Investment!$M:$M,Investment!$H:$H,LEFT($P301,30)&amp;"*"),),)</f>
        <v/>
      </c>
      <c r="O301" s="287" t="str">
        <f>IF($P301&lt;&gt;"",IF(MAXIFS(Investment!$AI:$AI,Investment!$H:$H,LEFT($P301,30)&amp;"*"),MAXIFS(Investment!$AI:$AI,Investment!$H:$H,LEFT($P301,30)&amp;"*"),),)</f>
        <v/>
      </c>
      <c r="P301" s="283"/>
      <c r="Q301" s="284"/>
      <c r="R301" s="288"/>
    </row>
    <row r="302">
      <c r="A302" s="165">
        <v>43486.0</v>
      </c>
      <c r="B302" s="55" t="s">
        <v>138</v>
      </c>
      <c r="C302" s="55" t="s">
        <v>139</v>
      </c>
      <c r="D302" s="55" t="s">
        <v>280</v>
      </c>
      <c r="E302" s="50">
        <v>-1.0</v>
      </c>
      <c r="F302" s="294">
        <f t="shared" si="303"/>
        <v>44.5</v>
      </c>
      <c r="G302" s="170">
        <v>44.5</v>
      </c>
      <c r="H302" s="167" t="s">
        <v>755</v>
      </c>
      <c r="I302" s="171">
        <f t="shared" ref="I302:J302" si="305">IFS(AND($B302&lt;&gt;"",$E302&lt;&gt;""),IF(INDEX(N:N,MATCH($C302,$P:$P,0),1)&lt;&gt;"",$E302*INDEX(N:N,MATCH($C302,$P:$P,0),1)+$G302,""),AND($B302&lt;&gt;"",$D302="COST",$G302&lt;0),$G302,TRUE,)</f>
        <v>-8.785</v>
      </c>
      <c r="J302" s="171">
        <f t="shared" si="305"/>
        <v>-3.637784314</v>
      </c>
      <c r="K302" s="283" t="str">
        <f t="shared" si="3"/>
        <v>Vanguard S&amp;P 500 UCITS</v>
      </c>
      <c r="L302" s="284">
        <f t="shared" si="4"/>
        <v>3715</v>
      </c>
      <c r="M302" s="285">
        <f t="shared" si="5"/>
        <v>-151722.66</v>
      </c>
      <c r="N302" s="286" t="str">
        <f>IF($P302&lt;&gt;"",IF(MAXIFS(Investment!$M:$M,Investment!$H:$H,LEFT($P302,30)&amp;"*"),MAXIFS(Investment!$M:$M,Investment!$H:$H,LEFT($P302,30)&amp;"*"),),)</f>
        <v/>
      </c>
      <c r="O302" s="287" t="str">
        <f>IF($P302&lt;&gt;"",IF(MAXIFS(Investment!$AI:$AI,Investment!$H:$H,LEFT($P302,30)&amp;"*"),MAXIFS(Investment!$AI:$AI,Investment!$H:$H,LEFT($P302,30)&amp;"*"),),)</f>
        <v/>
      </c>
      <c r="P302" s="283"/>
      <c r="Q302" s="284"/>
      <c r="R302" s="288"/>
    </row>
    <row r="303">
      <c r="A303" s="165">
        <v>43474.0</v>
      </c>
      <c r="B303" s="166" t="s">
        <v>138</v>
      </c>
      <c r="C303" s="167" t="s">
        <v>139</v>
      </c>
      <c r="D303" s="168" t="s">
        <v>307</v>
      </c>
      <c r="E303" s="168"/>
      <c r="F303" s="169"/>
      <c r="G303" s="170">
        <v>-154.79</v>
      </c>
      <c r="H303" s="167" t="s">
        <v>756</v>
      </c>
      <c r="I303" s="171" t="str">
        <f t="shared" ref="I303:J303" si="306">IFS(AND($B303&lt;&gt;"",$E303&lt;&gt;""),IF(INDEX(N:N,MATCH($C303,$P:$P,0),1)&lt;&gt;"",$E303*INDEX(N:N,MATCH($C303,$P:$P,0),1)+$G303,""),AND($B303&lt;&gt;"",$D303="COST",$G303&lt;0),$G303,TRUE,)</f>
        <v/>
      </c>
      <c r="J303" s="171" t="str">
        <f t="shared" si="306"/>
        <v/>
      </c>
      <c r="K303" s="283" t="str">
        <f t="shared" si="3"/>
        <v>Vanguard S&amp;P 500 UCITS</v>
      </c>
      <c r="L303" s="284">
        <f t="shared" si="4"/>
        <v>3715</v>
      </c>
      <c r="M303" s="285">
        <f t="shared" si="5"/>
        <v>-151722.66</v>
      </c>
      <c r="N303" s="286" t="str">
        <f>IF($P303&lt;&gt;"",IF(MAXIFS(Investment!$M:$M,Investment!$H:$H,LEFT($P303,30)&amp;"*"),MAXIFS(Investment!$M:$M,Investment!$H:$H,LEFT($P303,30)&amp;"*"),),)</f>
        <v/>
      </c>
      <c r="O303" s="287" t="str">
        <f>IF($P303&lt;&gt;"",IF(MAXIFS(Investment!$AI:$AI,Investment!$H:$H,LEFT($P303,30)&amp;"*"),MAXIFS(Investment!$AI:$AI,Investment!$H:$H,LEFT($P303,30)&amp;"*"),),)</f>
        <v/>
      </c>
      <c r="P303" s="283"/>
      <c r="Q303" s="284"/>
      <c r="R303" s="288"/>
    </row>
    <row r="304">
      <c r="A304" s="165">
        <v>43474.0</v>
      </c>
      <c r="B304" s="55" t="s">
        <v>138</v>
      </c>
      <c r="C304" s="55" t="s">
        <v>139</v>
      </c>
      <c r="D304" s="55" t="s">
        <v>307</v>
      </c>
      <c r="E304" s="50"/>
      <c r="F304" s="294" t="str">
        <f t="shared" ref="F304:F321" si="308">IF(E304,-G304/E304,"")</f>
        <v/>
      </c>
      <c r="G304" s="170">
        <v>1151.07</v>
      </c>
      <c r="H304" s="167" t="s">
        <v>757</v>
      </c>
      <c r="I304" s="171" t="str">
        <f t="shared" ref="I304:J304" si="307">IFS(AND($B304&lt;&gt;"",$E304&lt;&gt;""),IF(INDEX(N:N,MATCH($C304,$P:$P,0),1)&lt;&gt;"",$E304*INDEX(N:N,MATCH($C304,$P:$P,0),1)+$G304,""),AND($B304&lt;&gt;"",$D304="COST",$G304&lt;0),$G304,TRUE,)</f>
        <v/>
      </c>
      <c r="J304" s="171" t="str">
        <f t="shared" si="307"/>
        <v/>
      </c>
      <c r="K304" s="283" t="str">
        <f t="shared" si="3"/>
        <v>Vanguard S&amp;P 500 UCITS</v>
      </c>
      <c r="L304" s="284">
        <f t="shared" si="4"/>
        <v>3715</v>
      </c>
      <c r="M304" s="285">
        <f t="shared" si="5"/>
        <v>-151722.66</v>
      </c>
      <c r="N304" s="286" t="str">
        <f>IF($P304&lt;&gt;"",IF(MAXIFS(Investment!$M:$M,Investment!$H:$H,LEFT($P304,30)&amp;"*"),MAXIFS(Investment!$M:$M,Investment!$H:$H,LEFT($P304,30)&amp;"*"),),)</f>
        <v/>
      </c>
      <c r="O304" s="287" t="str">
        <f>IF($P304&lt;&gt;"",IF(MAXIFS(Investment!$AI:$AI,Investment!$H:$H,LEFT($P304,30)&amp;"*"),MAXIFS(Investment!$AI:$AI,Investment!$H:$H,LEFT($P304,30)&amp;"*"),),)</f>
        <v/>
      </c>
      <c r="P304" s="283"/>
      <c r="Q304" s="284"/>
      <c r="R304" s="288"/>
    </row>
    <row r="305">
      <c r="A305" s="165">
        <v>43474.0</v>
      </c>
      <c r="B305" s="55" t="s">
        <v>138</v>
      </c>
      <c r="C305" s="55" t="s">
        <v>139</v>
      </c>
      <c r="D305" s="55" t="s">
        <v>301</v>
      </c>
      <c r="E305" s="50"/>
      <c r="F305" s="294" t="str">
        <f t="shared" si="308"/>
        <v/>
      </c>
      <c r="G305" s="170">
        <v>-2.29</v>
      </c>
      <c r="H305" s="167" t="s">
        <v>758</v>
      </c>
      <c r="I305" s="171">
        <f t="shared" ref="I305:J305" si="309">IFS(AND($B305&lt;&gt;"",$E305&lt;&gt;""),IF(INDEX(N:N,MATCH($C305,$P:$P,0),1)&lt;&gt;"",$E305*INDEX(N:N,MATCH($C305,$P:$P,0),1)+$G305,""),AND($B305&lt;&gt;"",$D305="COST",$G305&lt;0),$G305,TRUE,)</f>
        <v>-2.29</v>
      </c>
      <c r="J305" s="171">
        <f t="shared" si="309"/>
        <v>-2.29</v>
      </c>
      <c r="K305" s="283" t="str">
        <f t="shared" si="3"/>
        <v>Vanguard S&amp;P 500 UCITS</v>
      </c>
      <c r="L305" s="284">
        <f t="shared" si="4"/>
        <v>3715</v>
      </c>
      <c r="M305" s="285">
        <f t="shared" si="5"/>
        <v>-151722.66</v>
      </c>
      <c r="N305" s="286" t="str">
        <f>IF($P305&lt;&gt;"",IF(MAXIFS(Investment!$M:$M,Investment!$H:$H,LEFT($P305,30)&amp;"*"),MAXIFS(Investment!$M:$M,Investment!$H:$H,LEFT($P305,30)&amp;"*"),),)</f>
        <v/>
      </c>
      <c r="O305" s="287" t="str">
        <f>IF($P305&lt;&gt;"",IF(MAXIFS(Investment!$AI:$AI,Investment!$H:$H,LEFT($P305,30)&amp;"*"),MAXIFS(Investment!$AI:$AI,Investment!$H:$H,LEFT($P305,30)&amp;"*"),),)</f>
        <v/>
      </c>
      <c r="P305" s="283"/>
      <c r="Q305" s="284"/>
      <c r="R305" s="288"/>
    </row>
    <row r="306">
      <c r="A306" s="165">
        <v>43474.0</v>
      </c>
      <c r="B306" s="55" t="s">
        <v>138</v>
      </c>
      <c r="C306" s="55" t="s">
        <v>139</v>
      </c>
      <c r="D306" s="55" t="s">
        <v>280</v>
      </c>
      <c r="E306" s="50">
        <v>-34.0</v>
      </c>
      <c r="F306" s="294">
        <f t="shared" si="308"/>
        <v>42.74</v>
      </c>
      <c r="G306" s="170">
        <v>1453.16</v>
      </c>
      <c r="H306" s="167" t="s">
        <v>759</v>
      </c>
      <c r="I306" s="171">
        <f t="shared" ref="I306:J306" si="310">IFS(AND($B306&lt;&gt;"",$E306&lt;&gt;""),IF(INDEX(N:N,MATCH($C306,$P:$P,0),1)&lt;&gt;"",$E306*INDEX(N:N,MATCH($C306,$P:$P,0),1)+$G306,""),AND($B306&lt;&gt;"",$D306="COST",$G306&lt;0),$G306,TRUE,)</f>
        <v>-358.53</v>
      </c>
      <c r="J306" s="171">
        <f t="shared" si="310"/>
        <v>-183.5246667</v>
      </c>
      <c r="K306" s="283" t="str">
        <f t="shared" si="3"/>
        <v>Vanguard S&amp;P 500 UCITS</v>
      </c>
      <c r="L306" s="284">
        <f t="shared" si="4"/>
        <v>3715</v>
      </c>
      <c r="M306" s="285">
        <f t="shared" si="5"/>
        <v>-151722.66</v>
      </c>
      <c r="N306" s="286" t="str">
        <f>IF($P306&lt;&gt;"",IF(MAXIFS(Investment!$M:$M,Investment!$H:$H,LEFT($P306,30)&amp;"*"),MAXIFS(Investment!$M:$M,Investment!$H:$H,LEFT($P306,30)&amp;"*"),),)</f>
        <v/>
      </c>
      <c r="O306" s="287" t="str">
        <f>IF($P306&lt;&gt;"",IF(MAXIFS(Investment!$AI:$AI,Investment!$H:$H,LEFT($P306,30)&amp;"*"),MAXIFS(Investment!$AI:$AI,Investment!$H:$H,LEFT($P306,30)&amp;"*"),),)</f>
        <v/>
      </c>
      <c r="P306" s="283"/>
      <c r="Q306" s="284"/>
      <c r="R306" s="288"/>
    </row>
    <row r="307">
      <c r="A307" s="165">
        <v>43473.0</v>
      </c>
      <c r="B307" s="55" t="s">
        <v>134</v>
      </c>
      <c r="C307" s="55" t="s">
        <v>710</v>
      </c>
      <c r="D307" s="55" t="s">
        <v>301</v>
      </c>
      <c r="E307" s="50"/>
      <c r="F307" s="294" t="str">
        <f t="shared" si="308"/>
        <v/>
      </c>
      <c r="G307" s="170">
        <v>-2.53</v>
      </c>
      <c r="H307" s="167" t="s">
        <v>760</v>
      </c>
      <c r="I307" s="171">
        <f t="shared" ref="I307:J307" si="311">IFS(AND($B307&lt;&gt;"",$E307&lt;&gt;""),IF(INDEX(N:N,MATCH($C307,$P:$P,0),1)&lt;&gt;"",$E307*INDEX(N:N,MATCH($C307,$P:$P,0),1)+$G307,""),AND($B307&lt;&gt;"",$D307="COST",$G307&lt;0),$G307,TRUE,)</f>
        <v>-2.53</v>
      </c>
      <c r="J307" s="171">
        <f t="shared" si="311"/>
        <v>-2.53</v>
      </c>
      <c r="K307" s="283" t="str">
        <f t="shared" si="3"/>
        <v>iShares Treasury Bond 20+ UCITS USD Dist</v>
      </c>
      <c r="L307" s="284">
        <f t="shared" si="4"/>
        <v>0</v>
      </c>
      <c r="M307" s="285">
        <f t="shared" si="5"/>
        <v>27424.27</v>
      </c>
      <c r="N307" s="286" t="str">
        <f>IF($P307&lt;&gt;"",IF(MAXIFS(Investment!$M:$M,Investment!$H:$H,LEFT($P307,30)&amp;"*"),MAXIFS(Investment!$M:$M,Investment!$H:$H,LEFT($P307,30)&amp;"*"),),)</f>
        <v/>
      </c>
      <c r="O307" s="287" t="str">
        <f>IF($P307&lt;&gt;"",IF(MAXIFS(Investment!$AI:$AI,Investment!$H:$H,LEFT($P307,30)&amp;"*"),MAXIFS(Investment!$AI:$AI,Investment!$H:$H,LEFT($P307,30)&amp;"*"),),)</f>
        <v/>
      </c>
      <c r="P307" s="283"/>
      <c r="Q307" s="284"/>
      <c r="R307" s="288"/>
    </row>
    <row r="308">
      <c r="A308" s="165">
        <v>43473.0</v>
      </c>
      <c r="B308" s="55" t="s">
        <v>134</v>
      </c>
      <c r="C308" s="55" t="s">
        <v>710</v>
      </c>
      <c r="D308" s="55" t="s">
        <v>332</v>
      </c>
      <c r="E308" s="50">
        <v>666.0</v>
      </c>
      <c r="F308" s="294">
        <f t="shared" si="308"/>
        <v>3.982507508</v>
      </c>
      <c r="G308" s="170">
        <v>-2652.35</v>
      </c>
      <c r="H308" s="167" t="s">
        <v>761</v>
      </c>
      <c r="I308" s="171">
        <f t="shared" ref="I308:J308" si="312">IFS(AND($B308&lt;&gt;"",$E308&lt;&gt;""),IF(INDEX(N:N,MATCH($C308,$P:$P,0),1)&lt;&gt;"",$E308*INDEX(N:N,MATCH($C308,$P:$P,0),1)+$G308,""),AND($B308&lt;&gt;"",$D308="COST",$G308&lt;0),$G308,TRUE,)</f>
        <v>421.906</v>
      </c>
      <c r="J308" s="171">
        <f t="shared" si="312"/>
        <v>223.0651706</v>
      </c>
      <c r="K308" s="283" t="str">
        <f t="shared" si="3"/>
        <v>iShares Treasury Bond 20+ UCITS USD Dist</v>
      </c>
      <c r="L308" s="284">
        <f t="shared" si="4"/>
        <v>0</v>
      </c>
      <c r="M308" s="285">
        <f t="shared" si="5"/>
        <v>27424.27</v>
      </c>
      <c r="N308" s="286" t="str">
        <f>IF($P308&lt;&gt;"",IF(MAXIFS(Investment!$M:$M,Investment!$H:$H,LEFT($P308,30)&amp;"*"),MAXIFS(Investment!$M:$M,Investment!$H:$H,LEFT($P308,30)&amp;"*"),),)</f>
        <v/>
      </c>
      <c r="O308" s="287" t="str">
        <f>IF($P308&lt;&gt;"",IF(MAXIFS(Investment!$AI:$AI,Investment!$H:$H,LEFT($P308,30)&amp;"*"),MAXIFS(Investment!$AI:$AI,Investment!$H:$H,LEFT($P308,30)&amp;"*"),),)</f>
        <v/>
      </c>
      <c r="P308" s="283"/>
      <c r="Q308" s="284"/>
      <c r="R308" s="288"/>
    </row>
    <row r="309">
      <c r="A309" s="165">
        <v>43473.0</v>
      </c>
      <c r="B309" s="55" t="s">
        <v>127</v>
      </c>
      <c r="C309" s="55" t="s">
        <v>128</v>
      </c>
      <c r="D309" s="55" t="s">
        <v>332</v>
      </c>
      <c r="E309" s="50">
        <v>14.0</v>
      </c>
      <c r="F309" s="294">
        <f t="shared" si="308"/>
        <v>167.51</v>
      </c>
      <c r="G309" s="170">
        <v>-2345.14</v>
      </c>
      <c r="H309" s="167" t="s">
        <v>762</v>
      </c>
      <c r="I309" s="171">
        <f t="shared" ref="I309:J309" si="313">IFS(AND($B309&lt;&gt;"",$E309&lt;&gt;""),IF(INDEX(N:N,MATCH($C309,$P:$P,0),1)&lt;&gt;"",$E309*INDEX(N:N,MATCH($C309,$P:$P,0),1)+$G309,""),AND($B309&lt;&gt;"",$D309="COST",$G309&lt;0),$G309,TRUE,)</f>
        <v>248.64</v>
      </c>
      <c r="J309" s="171">
        <f t="shared" si="313"/>
        <v>129.9496471</v>
      </c>
      <c r="K309" s="283" t="str">
        <f t="shared" si="3"/>
        <v>iShares Treasury Bond 7-10 UCITS</v>
      </c>
      <c r="L309" s="284">
        <f t="shared" si="4"/>
        <v>547</v>
      </c>
      <c r="M309" s="285">
        <f t="shared" si="5"/>
        <v>-81771.76</v>
      </c>
      <c r="N309" s="286" t="str">
        <f>IF($P309&lt;&gt;"",IF(MAXIFS(Investment!$M:$M,Investment!$H:$H,LEFT($P309,30)&amp;"*"),MAXIFS(Investment!$M:$M,Investment!$H:$H,LEFT($P309,30)&amp;"*"),),)</f>
        <v/>
      </c>
      <c r="O309" s="287" t="str">
        <f>IF($P309&lt;&gt;"",IF(MAXIFS(Investment!$AI:$AI,Investment!$H:$H,LEFT($P309,30)&amp;"*"),MAXIFS(Investment!$AI:$AI,Investment!$H:$H,LEFT($P309,30)&amp;"*"),),)</f>
        <v/>
      </c>
      <c r="P309" s="283"/>
      <c r="Q309" s="284"/>
      <c r="R309" s="288"/>
    </row>
    <row r="310">
      <c r="A310" s="165">
        <v>43473.0</v>
      </c>
      <c r="B310" s="55" t="s">
        <v>127</v>
      </c>
      <c r="C310" s="55" t="s">
        <v>128</v>
      </c>
      <c r="D310" s="55" t="s">
        <v>301</v>
      </c>
      <c r="E310" s="50"/>
      <c r="F310" s="294" t="str">
        <f t="shared" si="308"/>
        <v/>
      </c>
      <c r="G310" s="170">
        <v>-2.47</v>
      </c>
      <c r="H310" s="167" t="s">
        <v>763</v>
      </c>
      <c r="I310" s="171">
        <f t="shared" ref="I310:J310" si="314">IFS(AND($B310&lt;&gt;"",$E310&lt;&gt;""),IF(INDEX(N:N,MATCH($C310,$P:$P,0),1)&lt;&gt;"",$E310*INDEX(N:N,MATCH($C310,$P:$P,0),1)+$G310,""),AND($B310&lt;&gt;"",$D310="COST",$G310&lt;0),$G310,TRUE,)</f>
        <v>-2.47</v>
      </c>
      <c r="J310" s="171">
        <f t="shared" si="314"/>
        <v>-2.47</v>
      </c>
      <c r="K310" s="283" t="str">
        <f t="shared" si="3"/>
        <v>iShares Treasury Bond 7-10 UCITS</v>
      </c>
      <c r="L310" s="284">
        <f t="shared" si="4"/>
        <v>547</v>
      </c>
      <c r="M310" s="285">
        <f t="shared" si="5"/>
        <v>-81771.76</v>
      </c>
      <c r="N310" s="286" t="str">
        <f>IF($P310&lt;&gt;"",IF(MAXIFS(Investment!$M:$M,Investment!$H:$H,LEFT($P310,30)&amp;"*"),MAXIFS(Investment!$M:$M,Investment!$H:$H,LEFT($P310,30)&amp;"*"),),)</f>
        <v/>
      </c>
      <c r="O310" s="287" t="str">
        <f>IF($P310&lt;&gt;"",IF(MAXIFS(Investment!$AI:$AI,Investment!$H:$H,LEFT($P310,30)&amp;"*"),MAXIFS(Investment!$AI:$AI,Investment!$H:$H,LEFT($P310,30)&amp;"*"),),)</f>
        <v/>
      </c>
      <c r="P310" s="283"/>
      <c r="Q310" s="284"/>
      <c r="R310" s="288"/>
    </row>
    <row r="311">
      <c r="A311" s="165">
        <v>43473.0</v>
      </c>
      <c r="B311" s="55" t="s">
        <v>127</v>
      </c>
      <c r="C311" s="55" t="s">
        <v>128</v>
      </c>
      <c r="D311" s="55" t="s">
        <v>332</v>
      </c>
      <c r="E311" s="50">
        <v>14.0</v>
      </c>
      <c r="F311" s="294">
        <f t="shared" si="308"/>
        <v>167.59</v>
      </c>
      <c r="G311" s="170">
        <v>-2346.26</v>
      </c>
      <c r="H311" s="167" t="s">
        <v>764</v>
      </c>
      <c r="I311" s="171">
        <f t="shared" ref="I311:J311" si="315">IFS(AND($B311&lt;&gt;"",$E311&lt;&gt;""),IF(INDEX(N:N,MATCH($C311,$P:$P,0),1)&lt;&gt;"",$E311*INDEX(N:N,MATCH($C311,$P:$P,0),1)+$G311,""),AND($B311&lt;&gt;"",$D311="COST",$G311&lt;0),$G311,TRUE,)</f>
        <v>247.52</v>
      </c>
      <c r="J311" s="171">
        <f t="shared" si="315"/>
        <v>128.8296471</v>
      </c>
      <c r="K311" s="283" t="str">
        <f t="shared" si="3"/>
        <v>iShares Treasury Bond 7-10 UCITS</v>
      </c>
      <c r="L311" s="284">
        <f t="shared" si="4"/>
        <v>547</v>
      </c>
      <c r="M311" s="285">
        <f t="shared" si="5"/>
        <v>-81771.76</v>
      </c>
      <c r="N311" s="286" t="str">
        <f>IF($P311&lt;&gt;"",IF(MAXIFS(Investment!$M:$M,Investment!$H:$H,LEFT($P311,30)&amp;"*"),MAXIFS(Investment!$M:$M,Investment!$H:$H,LEFT($P311,30)&amp;"*"),),)</f>
        <v/>
      </c>
      <c r="O311" s="287" t="str">
        <f>IF($P311&lt;&gt;"",IF(MAXIFS(Investment!$AI:$AI,Investment!$H:$H,LEFT($P311,30)&amp;"*"),MAXIFS(Investment!$AI:$AI,Investment!$H:$H,LEFT($P311,30)&amp;"*"),),)</f>
        <v/>
      </c>
      <c r="P311" s="283"/>
      <c r="Q311" s="284"/>
      <c r="R311" s="288"/>
    </row>
    <row r="312">
      <c r="A312" s="165">
        <v>43473.0</v>
      </c>
      <c r="B312" s="55" t="s">
        <v>127</v>
      </c>
      <c r="C312" s="55" t="s">
        <v>128</v>
      </c>
      <c r="D312" s="55" t="s">
        <v>280</v>
      </c>
      <c r="E312" s="50">
        <v>-7.0</v>
      </c>
      <c r="F312" s="294">
        <f t="shared" si="308"/>
        <v>167.39</v>
      </c>
      <c r="G312" s="170">
        <v>1171.73</v>
      </c>
      <c r="H312" s="167" t="s">
        <v>765</v>
      </c>
      <c r="I312" s="171">
        <f t="shared" ref="I312:J312" si="316">IFS(AND($B312&lt;&gt;"",$E312&lt;&gt;""),IF(INDEX(N:N,MATCH($C312,$P:$P,0),1)&lt;&gt;"",$E312*INDEX(N:N,MATCH($C312,$P:$P,0),1)+$G312,""),AND($B312&lt;&gt;"",$D312="COST",$G312&lt;0),$G312,TRUE,)</f>
        <v>-125.16</v>
      </c>
      <c r="J312" s="171">
        <f t="shared" si="316"/>
        <v>-65.81482353</v>
      </c>
      <c r="K312" s="283" t="str">
        <f t="shared" si="3"/>
        <v>iShares Treasury Bond 7-10 UCITS</v>
      </c>
      <c r="L312" s="284">
        <f t="shared" si="4"/>
        <v>547</v>
      </c>
      <c r="M312" s="285">
        <f t="shared" si="5"/>
        <v>-81771.76</v>
      </c>
      <c r="N312" s="286" t="str">
        <f>IF($P312&lt;&gt;"",IF(MAXIFS(Investment!$M:$M,Investment!$H:$H,LEFT($P312,30)&amp;"*"),MAXIFS(Investment!$M:$M,Investment!$H:$H,LEFT($P312,30)&amp;"*"),),)</f>
        <v/>
      </c>
      <c r="O312" s="287" t="str">
        <f>IF($P312&lt;&gt;"",IF(MAXIFS(Investment!$AI:$AI,Investment!$H:$H,LEFT($P312,30)&amp;"*"),MAXIFS(Investment!$AI:$AI,Investment!$H:$H,LEFT($P312,30)&amp;"*"),),)</f>
        <v/>
      </c>
      <c r="P312" s="283"/>
      <c r="Q312" s="284"/>
      <c r="R312" s="288"/>
    </row>
    <row r="313">
      <c r="A313" s="165">
        <v>43473.0</v>
      </c>
      <c r="B313" s="55" t="s">
        <v>127</v>
      </c>
      <c r="C313" s="55" t="s">
        <v>128</v>
      </c>
      <c r="D313" s="55" t="s">
        <v>301</v>
      </c>
      <c r="E313" s="50"/>
      <c r="F313" s="294" t="str">
        <f t="shared" si="308"/>
        <v/>
      </c>
      <c r="G313" s="170">
        <v>-2.23</v>
      </c>
      <c r="H313" s="167" t="s">
        <v>766</v>
      </c>
      <c r="I313" s="171">
        <f t="shared" ref="I313:J313" si="317">IFS(AND($B313&lt;&gt;"",$E313&lt;&gt;""),IF(INDEX(N:N,MATCH($C313,$P:$P,0),1)&lt;&gt;"",$E313*INDEX(N:N,MATCH($C313,$P:$P,0),1)+$G313,""),AND($B313&lt;&gt;"",$D313="COST",$G313&lt;0),$G313,TRUE,)</f>
        <v>-2.23</v>
      </c>
      <c r="J313" s="171">
        <f t="shared" si="317"/>
        <v>-2.23</v>
      </c>
      <c r="K313" s="283" t="str">
        <f t="shared" si="3"/>
        <v>iShares Treasury Bond 7-10 UCITS</v>
      </c>
      <c r="L313" s="284">
        <f t="shared" si="4"/>
        <v>547</v>
      </c>
      <c r="M313" s="285">
        <f t="shared" si="5"/>
        <v>-81771.76</v>
      </c>
      <c r="N313" s="286" t="str">
        <f>IF($P313&lt;&gt;"",IF(MAXIFS(Investment!$M:$M,Investment!$H:$H,LEFT($P313,30)&amp;"*"),MAXIFS(Investment!$M:$M,Investment!$H:$H,LEFT($P313,30)&amp;"*"),),)</f>
        <v/>
      </c>
      <c r="O313" s="287" t="str">
        <f>IF($P313&lt;&gt;"",IF(MAXIFS(Investment!$AI:$AI,Investment!$H:$H,LEFT($P313,30)&amp;"*"),MAXIFS(Investment!$AI:$AI,Investment!$H:$H,LEFT($P313,30)&amp;"*"),),)</f>
        <v/>
      </c>
      <c r="P313" s="283"/>
      <c r="Q313" s="284"/>
      <c r="R313" s="288"/>
    </row>
    <row r="314">
      <c r="A314" s="165">
        <v>43473.0</v>
      </c>
      <c r="B314" s="55" t="s">
        <v>138</v>
      </c>
      <c r="C314" s="55" t="s">
        <v>139</v>
      </c>
      <c r="D314" s="55" t="s">
        <v>280</v>
      </c>
      <c r="E314" s="50">
        <v>-110.0</v>
      </c>
      <c r="F314" s="294">
        <f t="shared" si="308"/>
        <v>42.536</v>
      </c>
      <c r="G314" s="170">
        <v>4678.96</v>
      </c>
      <c r="H314" s="167" t="s">
        <v>767</v>
      </c>
      <c r="I314" s="171">
        <f t="shared" ref="I314:J314" si="318">IFS(AND($B314&lt;&gt;"",$E314&lt;&gt;""),IF(INDEX(N:N,MATCH($C314,$P:$P,0),1)&lt;&gt;"",$E314*INDEX(N:N,MATCH($C314,$P:$P,0),1)+$G314,""),AND($B314&lt;&gt;"",$D314="COST",$G314&lt;0),$G314,TRUE,)</f>
        <v>-1182.39</v>
      </c>
      <c r="J314" s="171">
        <f t="shared" si="318"/>
        <v>-616.1962745</v>
      </c>
      <c r="K314" s="283" t="str">
        <f t="shared" si="3"/>
        <v>Vanguard S&amp;P 500 UCITS</v>
      </c>
      <c r="L314" s="284">
        <f t="shared" si="4"/>
        <v>3715</v>
      </c>
      <c r="M314" s="285">
        <f t="shared" si="5"/>
        <v>-151722.66</v>
      </c>
      <c r="N314" s="286" t="str">
        <f>IF($P314&lt;&gt;"",IF(MAXIFS(Investment!$M:$M,Investment!$H:$H,LEFT($P314,30)&amp;"*"),MAXIFS(Investment!$M:$M,Investment!$H:$H,LEFT($P314,30)&amp;"*"),),)</f>
        <v/>
      </c>
      <c r="O314" s="287" t="str">
        <f>IF($P314&lt;&gt;"",IF(MAXIFS(Investment!$AI:$AI,Investment!$H:$H,LEFT($P314,30)&amp;"*"),MAXIFS(Investment!$AI:$AI,Investment!$H:$H,LEFT($P314,30)&amp;"*"),),)</f>
        <v/>
      </c>
      <c r="P314" s="283"/>
      <c r="Q314" s="284"/>
      <c r="R314" s="288"/>
    </row>
    <row r="315">
      <c r="A315" s="165">
        <v>43473.0</v>
      </c>
      <c r="B315" s="55" t="s">
        <v>138</v>
      </c>
      <c r="C315" s="55" t="s">
        <v>139</v>
      </c>
      <c r="D315" s="55" t="s">
        <v>301</v>
      </c>
      <c r="E315" s="50"/>
      <c r="F315" s="294" t="str">
        <f t="shared" si="308"/>
        <v/>
      </c>
      <c r="G315" s="170">
        <v>-2.94</v>
      </c>
      <c r="H315" s="167" t="s">
        <v>768</v>
      </c>
      <c r="I315" s="171">
        <f t="shared" ref="I315:J315" si="319">IFS(AND($B315&lt;&gt;"",$E315&lt;&gt;""),IF(INDEX(N:N,MATCH($C315,$P:$P,0),1)&lt;&gt;"",$E315*INDEX(N:N,MATCH($C315,$P:$P,0),1)+$G315,""),AND($B315&lt;&gt;"",$D315="COST",$G315&lt;0),$G315,TRUE,)</f>
        <v>-2.94</v>
      </c>
      <c r="J315" s="171">
        <f t="shared" si="319"/>
        <v>-2.94</v>
      </c>
      <c r="K315" s="172" t="str">
        <f t="shared" si="3"/>
        <v>Vanguard S&amp;P 500 UCITS</v>
      </c>
      <c r="L315" s="173">
        <f t="shared" si="4"/>
        <v>3715</v>
      </c>
      <c r="M315" s="174">
        <f t="shared" si="5"/>
        <v>-151722.66</v>
      </c>
      <c r="N315" s="176" t="str">
        <f>IF($P315&lt;&gt;"",IF(MAXIFS(Investment!$M:$M,Investment!$H:$H,LEFT($P315,30)&amp;"*"),MAXIFS(Investment!$M:$M,Investment!$H:$H,LEFT($P315,30)&amp;"*"),),)</f>
        <v/>
      </c>
      <c r="O315" s="177" t="str">
        <f>IF($P315&lt;&gt;"",IF(MAXIFS(Investment!$AI:$AI,Investment!$H:$H,LEFT($P315,30)&amp;"*"),MAXIFS(Investment!$AI:$AI,Investment!$H:$H,LEFT($P315,30)&amp;"*"),),)</f>
        <v/>
      </c>
      <c r="P315" s="172"/>
      <c r="Q315" s="173"/>
      <c r="R315" s="171"/>
    </row>
    <row r="316">
      <c r="A316" s="165">
        <v>43473.0</v>
      </c>
      <c r="B316" s="55" t="s">
        <v>134</v>
      </c>
      <c r="C316" s="55" t="s">
        <v>710</v>
      </c>
      <c r="D316" s="55" t="s">
        <v>301</v>
      </c>
      <c r="E316" s="50"/>
      <c r="F316" s="294" t="str">
        <f t="shared" si="308"/>
        <v/>
      </c>
      <c r="G316" s="170">
        <v>-4.42</v>
      </c>
      <c r="H316" s="167" t="s">
        <v>769</v>
      </c>
      <c r="I316" s="171">
        <f t="shared" ref="I316:J316" si="320">IFS(AND($B316&lt;&gt;"",$E316&lt;&gt;""),IF(INDEX(N:N,MATCH($C316,$P:$P,0),1)&lt;&gt;"",$E316*INDEX(N:N,MATCH($C316,$P:$P,0),1)+$G316,""),AND($B316&lt;&gt;"",$D316="COST",$G316&lt;0),$G316,TRUE,)</f>
        <v>-4.42</v>
      </c>
      <c r="J316" s="171">
        <f t="shared" si="320"/>
        <v>-4.42</v>
      </c>
      <c r="K316" s="172" t="str">
        <f t="shared" si="3"/>
        <v>iShares Treasury Bond 20+ UCITS USD Dist</v>
      </c>
      <c r="L316" s="173">
        <f t="shared" si="4"/>
        <v>0</v>
      </c>
      <c r="M316" s="174">
        <f t="shared" si="5"/>
        <v>27424.27</v>
      </c>
      <c r="N316" s="176" t="str">
        <f>IF($P316&lt;&gt;"",IF(MAXIFS(Investment!$M:$M,Investment!$H:$H,LEFT($P316,30)&amp;"*"),MAXIFS(Investment!$M:$M,Investment!$H:$H,LEFT($P316,30)&amp;"*"),),)</f>
        <v/>
      </c>
      <c r="O316" s="177" t="str">
        <f>IF($P316&lt;&gt;"",IF(MAXIFS(Investment!$AI:$AI,Investment!$H:$H,LEFT($P316,30)&amp;"*"),MAXIFS(Investment!$AI:$AI,Investment!$H:$H,LEFT($P316,30)&amp;"*"),),)</f>
        <v/>
      </c>
      <c r="P316" s="172"/>
      <c r="Q316" s="173"/>
      <c r="R316" s="171"/>
    </row>
    <row r="317">
      <c r="A317" s="165">
        <v>43473.0</v>
      </c>
      <c r="B317" s="55" t="s">
        <v>134</v>
      </c>
      <c r="C317" s="55" t="s">
        <v>710</v>
      </c>
      <c r="D317" s="55" t="s">
        <v>332</v>
      </c>
      <c r="E317" s="50">
        <v>3038.0</v>
      </c>
      <c r="F317" s="294">
        <f t="shared" si="308"/>
        <v>3.98817314</v>
      </c>
      <c r="G317" s="170">
        <v>-12116.07</v>
      </c>
      <c r="H317" s="167" t="s">
        <v>770</v>
      </c>
      <c r="I317" s="171">
        <f t="shared" ref="I317:J317" si="321">IFS(AND($B317&lt;&gt;"",$E317&lt;&gt;""),IF(INDEX(N:N,MATCH($C317,$P:$P,0),1)&lt;&gt;"",$E317*INDEX(N:N,MATCH($C317,$P:$P,0),1)+$G317,""),AND($B317&lt;&gt;"",$D317="COST",$G317&lt;0),$G317,TRUE,)</f>
        <v>1907.338</v>
      </c>
      <c r="J317" s="171">
        <f t="shared" si="321"/>
        <v>1000.313316</v>
      </c>
      <c r="K317" s="295" t="str">
        <f t="shared" si="3"/>
        <v>iShares Treasury Bond 20+ UCITS USD Dist</v>
      </c>
      <c r="L317" s="296">
        <f t="shared" si="4"/>
        <v>0</v>
      </c>
      <c r="M317" s="297">
        <f t="shared" si="5"/>
        <v>27424.27</v>
      </c>
      <c r="N317" s="298" t="str">
        <f>IF($P317&lt;&gt;"",IF(MAXIFS(Investment!$M:$M,Investment!$H:$H,LEFT($P317,30)&amp;"*"),MAXIFS(Investment!$M:$M,Investment!$H:$H,LEFT($P317,30)&amp;"*"),),)</f>
        <v/>
      </c>
      <c r="O317" s="299" t="str">
        <f>IF($P317&lt;&gt;"",IF(MAXIFS(Investment!$AI:$AI,Investment!$H:$H,LEFT($P317,30)&amp;"*"),MAXIFS(Investment!$AI:$AI,Investment!$H:$H,LEFT($P317,30)&amp;"*"),),)</f>
        <v/>
      </c>
      <c r="P317" s="295"/>
      <c r="Q317" s="296"/>
      <c r="R317" s="300"/>
    </row>
    <row r="318">
      <c r="A318" s="165">
        <v>43473.0</v>
      </c>
      <c r="B318" s="55" t="s">
        <v>127</v>
      </c>
      <c r="C318" s="55" t="s">
        <v>128</v>
      </c>
      <c r="D318" s="55" t="s">
        <v>332</v>
      </c>
      <c r="E318" s="50">
        <v>14.0</v>
      </c>
      <c r="F318" s="294">
        <f t="shared" si="308"/>
        <v>167.5</v>
      </c>
      <c r="G318" s="170">
        <v>-2345.0</v>
      </c>
      <c r="H318" s="167" t="s">
        <v>771</v>
      </c>
      <c r="I318" s="171">
        <f t="shared" ref="I318:J318" si="322">IFS(AND($B318&lt;&gt;"",$E318&lt;&gt;""),IF(INDEX(N:N,MATCH($C318,$P:$P,0),1)&lt;&gt;"",$E318*INDEX(N:N,MATCH($C318,$P:$P,0),1)+$G318,""),AND($B318&lt;&gt;"",$D318="COST",$G318&lt;0),$G318,TRUE,)</f>
        <v>248.78</v>
      </c>
      <c r="J318" s="171">
        <f t="shared" si="322"/>
        <v>130.0896471</v>
      </c>
      <c r="K318" s="295" t="str">
        <f t="shared" si="3"/>
        <v>iShares Treasury Bond 7-10 UCITS</v>
      </c>
      <c r="L318" s="296">
        <f t="shared" si="4"/>
        <v>547</v>
      </c>
      <c r="M318" s="297">
        <f t="shared" si="5"/>
        <v>-81771.76</v>
      </c>
      <c r="N318" s="298" t="str">
        <f>IF($P318&lt;&gt;"",IF(MAXIFS(Investment!$M:$M,Investment!$H:$H,LEFT($P318,30)&amp;"*"),MAXIFS(Investment!$M:$M,Investment!$H:$H,LEFT($P318,30)&amp;"*"),),)</f>
        <v/>
      </c>
      <c r="O318" s="299" t="str">
        <f>IF($P318&lt;&gt;"",IF(MAXIFS(Investment!$AI:$AI,Investment!$H:$H,LEFT($P318,30)&amp;"*"),MAXIFS(Investment!$AI:$AI,Investment!$H:$H,LEFT($P318,30)&amp;"*"),),)</f>
        <v/>
      </c>
      <c r="P318" s="295"/>
      <c r="Q318" s="296"/>
      <c r="R318" s="300"/>
    </row>
    <row r="319">
      <c r="A319" s="165">
        <v>43469.0</v>
      </c>
      <c r="B319" s="55"/>
      <c r="C319" s="55"/>
      <c r="D319" s="55" t="s">
        <v>299</v>
      </c>
      <c r="E319" s="50"/>
      <c r="F319" s="294" t="str">
        <f t="shared" si="308"/>
        <v/>
      </c>
      <c r="G319" s="170">
        <v>-1500.0</v>
      </c>
      <c r="H319" s="167" t="s">
        <v>772</v>
      </c>
      <c r="I319" s="171" t="str">
        <f t="shared" ref="I319:J319" si="323">IFS(AND($B319&lt;&gt;"",$E319&lt;&gt;""),IF(INDEX(N:N,MATCH($C319,$P:$P,0),1)&lt;&gt;"",$E319*INDEX(N:N,MATCH($C319,$P:$P,0),1)+$G319,""),AND($B319&lt;&gt;"",$D319="COST",$G319&lt;0),$G319,TRUE,)</f>
        <v/>
      </c>
      <c r="J319" s="171" t="str">
        <f t="shared" si="323"/>
        <v/>
      </c>
      <c r="K319" s="172" t="str">
        <f t="shared" si="3"/>
        <v/>
      </c>
      <c r="L319" s="173" t="str">
        <f t="shared" si="4"/>
        <v/>
      </c>
      <c r="M319" s="174" t="str">
        <f t="shared" si="5"/>
        <v/>
      </c>
      <c r="N319" s="176" t="str">
        <f>IF($P319&lt;&gt;"",IF(MAXIFS(Investment!$M:$M,Investment!$H:$H,LEFT($P319,30)&amp;"*"),MAXIFS(Investment!$M:$M,Investment!$H:$H,LEFT($P319,30)&amp;"*"),),)</f>
        <v/>
      </c>
      <c r="O319" s="177" t="str">
        <f>IF($P319&lt;&gt;"",IF(MAXIFS(Investment!$AI:$AI,Investment!$H:$H,LEFT($P319,30)&amp;"*"),MAXIFS(Investment!$AI:$AI,Investment!$H:$H,LEFT($P319,30)&amp;"*"),),)</f>
        <v/>
      </c>
      <c r="P319" s="172"/>
      <c r="Q319" s="173"/>
      <c r="R319" s="171"/>
    </row>
    <row r="320">
      <c r="A320" s="165">
        <v>43467.0</v>
      </c>
      <c r="B320" s="55" t="s">
        <v>118</v>
      </c>
      <c r="C320" s="55" t="s">
        <v>120</v>
      </c>
      <c r="D320" s="55" t="s">
        <v>332</v>
      </c>
      <c r="E320" s="50">
        <v>300.0</v>
      </c>
      <c r="F320" s="294">
        <f t="shared" si="308"/>
        <v>6.82</v>
      </c>
      <c r="G320" s="170">
        <v>-2046.0</v>
      </c>
      <c r="H320" s="167" t="s">
        <v>773</v>
      </c>
      <c r="I320" s="171">
        <f t="shared" ref="I320:J320" si="324">IFS(AND($B320&lt;&gt;"",$E320&lt;&gt;""),IF(INDEX(N:N,MATCH($C320,$P:$P,0),1)&lt;&gt;"",$E320*INDEX(N:N,MATCH($C320,$P:$P,0),1)+$G320,""),AND($B320&lt;&gt;"",$D320="COST",$G320&lt;0),$G320,TRUE,)</f>
        <v>168</v>
      </c>
      <c r="J320" s="171">
        <f t="shared" si="324"/>
        <v>128.1011765</v>
      </c>
      <c r="K320" s="172" t="str">
        <f t="shared" si="3"/>
        <v>ETFS All Commodities ETC</v>
      </c>
      <c r="L320" s="173">
        <f t="shared" si="4"/>
        <v>11745</v>
      </c>
      <c r="M320" s="174">
        <f t="shared" si="5"/>
        <v>-84366.02</v>
      </c>
      <c r="N320" s="176" t="str">
        <f>IF($P320&lt;&gt;"",IF(MAXIFS(Investment!$M:$M,Investment!$H:$H,LEFT($P320,30)&amp;"*"),MAXIFS(Investment!$M:$M,Investment!$H:$H,LEFT($P320,30)&amp;"*"),),)</f>
        <v/>
      </c>
      <c r="O320" s="177" t="str">
        <f>IF($P320&lt;&gt;"",IF(MAXIFS(Investment!$AI:$AI,Investment!$H:$H,LEFT($P320,30)&amp;"*"),MAXIFS(Investment!$AI:$AI,Investment!$H:$H,LEFT($P320,30)&amp;"*"),),)</f>
        <v/>
      </c>
      <c r="P320" s="172"/>
      <c r="Q320" s="173"/>
      <c r="R320" s="171"/>
    </row>
    <row r="321">
      <c r="A321" s="165">
        <v>43467.0</v>
      </c>
      <c r="B321" s="55" t="s">
        <v>138</v>
      </c>
      <c r="C321" s="55" t="s">
        <v>139</v>
      </c>
      <c r="D321" s="55" t="s">
        <v>332</v>
      </c>
      <c r="E321" s="50">
        <v>74.0</v>
      </c>
      <c r="F321" s="294">
        <f t="shared" si="308"/>
        <v>41.15</v>
      </c>
      <c r="G321" s="170">
        <v>-3045.1</v>
      </c>
      <c r="H321" s="167" t="s">
        <v>774</v>
      </c>
      <c r="I321" s="171">
        <f t="shared" ref="I321:J321" si="325">IFS(AND($B321&lt;&gt;"",$E321&lt;&gt;""),IF(INDEX(N:N,MATCH($C321,$P:$P,0),1)&lt;&gt;"",$E321*INDEX(N:N,MATCH($C321,$P:$P,0),1)+$G321,""),AND($B321&lt;&gt;"",$D321="COST",$G321&lt;0),$G321,TRUE,)</f>
        <v>897.99</v>
      </c>
      <c r="J321" s="171">
        <f t="shared" si="325"/>
        <v>517.0960392</v>
      </c>
      <c r="K321" s="172" t="str">
        <f t="shared" si="3"/>
        <v>Vanguard S&amp;P 500 UCITS</v>
      </c>
      <c r="L321" s="173">
        <f t="shared" si="4"/>
        <v>3715</v>
      </c>
      <c r="M321" s="174">
        <f t="shared" si="5"/>
        <v>-151722.66</v>
      </c>
      <c r="N321" s="176" t="str">
        <f>IF($P321&lt;&gt;"",IF(MAXIFS(Investment!$M:$M,Investment!$H:$H,LEFT($P321,30)&amp;"*"),MAXIFS(Investment!$M:$M,Investment!$H:$H,LEFT($P321,30)&amp;"*"),),)</f>
        <v/>
      </c>
      <c r="O321" s="177" t="str">
        <f>IF($P321&lt;&gt;"",IF(MAXIFS(Investment!$AI:$AI,Investment!$H:$H,LEFT($P321,30)&amp;"*"),MAXIFS(Investment!$AI:$AI,Investment!$H:$H,LEFT($P321,30)&amp;"*"),),)</f>
        <v/>
      </c>
      <c r="P321" s="172"/>
      <c r="Q321" s="173"/>
      <c r="R321" s="171"/>
    </row>
    <row r="322">
      <c r="A322" s="165">
        <v>43465.0</v>
      </c>
      <c r="B322" s="166"/>
      <c r="C322" s="167"/>
      <c r="D322" s="168" t="s">
        <v>301</v>
      </c>
      <c r="E322" s="168"/>
      <c r="F322" s="169"/>
      <c r="G322" s="170">
        <v>-534.69</v>
      </c>
      <c r="H322" s="167" t="s">
        <v>775</v>
      </c>
      <c r="I322" s="171" t="str">
        <f t="shared" ref="I322:J322" si="326">IFS(AND($B322&lt;&gt;"",$E322&lt;&gt;""),IF(INDEX(N:N,MATCH($C322,$P:$P,0),1)&lt;&gt;"",$E322*INDEX(N:N,MATCH($C322,$P:$P,0),1)+$G322,""),AND($B322&lt;&gt;"",$D322="COST",$G322&lt;0),$G322,TRUE,)</f>
        <v/>
      </c>
      <c r="J322" s="171" t="str">
        <f t="shared" si="326"/>
        <v/>
      </c>
      <c r="K322" s="172" t="str">
        <f t="shared" si="3"/>
        <v/>
      </c>
      <c r="L322" s="173" t="str">
        <f t="shared" si="4"/>
        <v/>
      </c>
      <c r="M322" s="174" t="str">
        <f t="shared" si="5"/>
        <v/>
      </c>
      <c r="N322" s="176" t="str">
        <f>IF($P322&lt;&gt;"",IF(MAXIFS(Investment!$M:$M,Investment!$H:$H,LEFT($P322,30)&amp;"*"),MAXIFS(Investment!$M:$M,Investment!$H:$H,LEFT($P322,30)&amp;"*"),),)</f>
        <v/>
      </c>
      <c r="O322" s="177" t="str">
        <f>IF($P322&lt;&gt;"",IF(MAXIFS(Investment!$AI:$AI,Investment!$H:$H,LEFT($P322,30)&amp;"*"),MAXIFS(Investment!$AI:$AI,Investment!$H:$H,LEFT($P322,30)&amp;"*"),),)</f>
        <v/>
      </c>
      <c r="P322" s="172"/>
      <c r="Q322" s="173"/>
      <c r="R322" s="171"/>
    </row>
    <row r="323">
      <c r="A323" s="165">
        <v>43462.0</v>
      </c>
      <c r="B323" s="166" t="s">
        <v>134</v>
      </c>
      <c r="C323" s="167" t="s">
        <v>710</v>
      </c>
      <c r="D323" s="168" t="s">
        <v>307</v>
      </c>
      <c r="E323" s="168"/>
      <c r="F323" s="169"/>
      <c r="G323" s="170">
        <v>4867.15</v>
      </c>
      <c r="H323" s="167" t="s">
        <v>776</v>
      </c>
      <c r="I323" s="171" t="str">
        <f t="shared" ref="I323:J323" si="327">IFS(AND($B323&lt;&gt;"",$E323&lt;&gt;""),IF(INDEX(N:N,MATCH($C323,$P:$P,0),1)&lt;&gt;"",$E323*INDEX(N:N,MATCH($C323,$P:$P,0),1)+$G323,""),AND($B323&lt;&gt;"",$D323="COST",$G323&lt;0),$G323,TRUE,)</f>
        <v/>
      </c>
      <c r="J323" s="171" t="str">
        <f t="shared" si="327"/>
        <v/>
      </c>
      <c r="K323" s="172" t="str">
        <f t="shared" si="3"/>
        <v>iShares Treasury Bond 20+ UCITS USD Dist</v>
      </c>
      <c r="L323" s="173">
        <f t="shared" si="4"/>
        <v>0</v>
      </c>
      <c r="M323" s="174">
        <f t="shared" si="5"/>
        <v>27424.27</v>
      </c>
      <c r="N323" s="176" t="str">
        <f>IF($P323&lt;&gt;"",IF(MAXIFS(Investment!$M:$M,Investment!$H:$H,LEFT($P323,30)&amp;"*"),MAXIFS(Investment!$M:$M,Investment!$H:$H,LEFT($P323,30)&amp;"*"),),)</f>
        <v/>
      </c>
      <c r="O323" s="177" t="str">
        <f>IF($P323&lt;&gt;"",IF(MAXIFS(Investment!$AI:$AI,Investment!$H:$H,LEFT($P323,30)&amp;"*"),MAXIFS(Investment!$AI:$AI,Investment!$H:$H,LEFT($P323,30)&amp;"*"),),)</f>
        <v/>
      </c>
      <c r="P323" s="172"/>
      <c r="Q323" s="173"/>
      <c r="R323" s="171"/>
    </row>
    <row r="324">
      <c r="A324" s="165">
        <v>43462.0</v>
      </c>
      <c r="B324" s="166" t="s">
        <v>134</v>
      </c>
      <c r="C324" s="167" t="s">
        <v>710</v>
      </c>
      <c r="D324" s="168" t="s">
        <v>307</v>
      </c>
      <c r="E324" s="168"/>
      <c r="F324" s="169"/>
      <c r="G324" s="170">
        <v>-618.49</v>
      </c>
      <c r="H324" s="167" t="s">
        <v>777</v>
      </c>
      <c r="I324" s="171" t="str">
        <f t="shared" ref="I324:J324" si="328">IFS(AND($B324&lt;&gt;"",$E324&lt;&gt;""),IF(INDEX(N:N,MATCH($C324,$P:$P,0),1)&lt;&gt;"",$E324*INDEX(N:N,MATCH($C324,$P:$P,0),1)+$G324,""),AND($B324&lt;&gt;"",$D324="COST",$G324&lt;0),$G324,TRUE,)</f>
        <v/>
      </c>
      <c r="J324" s="171" t="str">
        <f t="shared" si="328"/>
        <v/>
      </c>
      <c r="K324" s="172" t="str">
        <f t="shared" si="3"/>
        <v>iShares Treasury Bond 20+ UCITS USD Dist</v>
      </c>
      <c r="L324" s="173">
        <f t="shared" si="4"/>
        <v>0</v>
      </c>
      <c r="M324" s="174">
        <f t="shared" si="5"/>
        <v>27424.27</v>
      </c>
      <c r="N324" s="176" t="str">
        <f>IF($P324&lt;&gt;"",IF(MAXIFS(Investment!$M:$M,Investment!$H:$H,LEFT($P324,30)&amp;"*"),MAXIFS(Investment!$M:$M,Investment!$H:$H,LEFT($P324,30)&amp;"*"),),)</f>
        <v/>
      </c>
      <c r="O324" s="177" t="str">
        <f>IF($P324&lt;&gt;"",IF(MAXIFS(Investment!$AI:$AI,Investment!$H:$H,LEFT($P324,30)&amp;"*"),MAXIFS(Investment!$AI:$AI,Investment!$H:$H,LEFT($P324,30)&amp;"*"),),)</f>
        <v/>
      </c>
      <c r="P324" s="172"/>
      <c r="Q324" s="173"/>
      <c r="R324" s="171"/>
    </row>
    <row r="325">
      <c r="A325" s="165">
        <v>43461.0</v>
      </c>
      <c r="B325" s="55" t="s">
        <v>127</v>
      </c>
      <c r="C325" s="55" t="s">
        <v>128</v>
      </c>
      <c r="D325" s="55" t="s">
        <v>280</v>
      </c>
      <c r="E325" s="50">
        <v>-2.0</v>
      </c>
      <c r="F325" s="294">
        <f t="shared" ref="F325:F335" si="330">IF(E325,-G325/E325,"")</f>
        <v>166.98</v>
      </c>
      <c r="G325" s="170">
        <v>333.96</v>
      </c>
      <c r="H325" s="167" t="s">
        <v>778</v>
      </c>
      <c r="I325" s="171">
        <f t="shared" ref="I325:J325" si="329">IFS(AND($B325&lt;&gt;"",$E325&lt;&gt;""),IF(INDEX(N:N,MATCH($C325,$P:$P,0),1)&lt;&gt;"",$E325*INDEX(N:N,MATCH($C325,$P:$P,0),1)+$G325,""),AND($B325&lt;&gt;"",$D325="COST",$G325&lt;0),$G325,TRUE,)</f>
        <v>-36.58</v>
      </c>
      <c r="J325" s="171">
        <f t="shared" si="329"/>
        <v>-19.62423529</v>
      </c>
      <c r="K325" s="172" t="str">
        <f t="shared" si="3"/>
        <v>iShares Treasury Bond 7-10 UCITS</v>
      </c>
      <c r="L325" s="173">
        <f t="shared" si="4"/>
        <v>547</v>
      </c>
      <c r="M325" s="174">
        <f t="shared" si="5"/>
        <v>-81771.76</v>
      </c>
      <c r="N325" s="176" t="str">
        <f>IF($P325&lt;&gt;"",IF(MAXIFS(Investment!$M:$M,Investment!$H:$H,LEFT($P325,30)&amp;"*"),MAXIFS(Investment!$M:$M,Investment!$H:$H,LEFT($P325,30)&amp;"*"),),)</f>
        <v/>
      </c>
      <c r="O325" s="177" t="str">
        <f>IF($P325&lt;&gt;"",IF(MAXIFS(Investment!$AI:$AI,Investment!$H:$H,LEFT($P325,30)&amp;"*"),MAXIFS(Investment!$AI:$AI,Investment!$H:$H,LEFT($P325,30)&amp;"*"),),)</f>
        <v/>
      </c>
      <c r="P325" s="172"/>
      <c r="Q325" s="173"/>
      <c r="R325" s="171"/>
    </row>
    <row r="326">
      <c r="A326" s="165">
        <v>43461.0</v>
      </c>
      <c r="B326" s="55" t="s">
        <v>127</v>
      </c>
      <c r="C326" s="55" t="s">
        <v>128</v>
      </c>
      <c r="D326" s="55" t="s">
        <v>280</v>
      </c>
      <c r="E326" s="50">
        <v>-5.0</v>
      </c>
      <c r="F326" s="294">
        <f t="shared" si="330"/>
        <v>166.98</v>
      </c>
      <c r="G326" s="170">
        <v>834.9</v>
      </c>
      <c r="H326" s="167" t="s">
        <v>779</v>
      </c>
      <c r="I326" s="171">
        <f t="shared" ref="I326:J326" si="331">IFS(AND($B326&lt;&gt;"",$E326&lt;&gt;""),IF(INDEX(N:N,MATCH($C326,$P:$P,0),1)&lt;&gt;"",$E326*INDEX(N:N,MATCH($C326,$P:$P,0),1)+$G326,""),AND($B326&lt;&gt;"",$D326="COST",$G326&lt;0),$G326,TRUE,)</f>
        <v>-91.45</v>
      </c>
      <c r="J326" s="171">
        <f t="shared" si="331"/>
        <v>-49.06058824</v>
      </c>
      <c r="K326" s="172" t="str">
        <f t="shared" si="3"/>
        <v>iShares Treasury Bond 7-10 UCITS</v>
      </c>
      <c r="L326" s="173">
        <f t="shared" si="4"/>
        <v>547</v>
      </c>
      <c r="M326" s="174">
        <f t="shared" si="5"/>
        <v>-81771.76</v>
      </c>
      <c r="N326" s="176" t="str">
        <f>IF($P326&lt;&gt;"",IF(MAXIFS(Investment!$M:$M,Investment!$H:$H,LEFT($P326,30)&amp;"*"),MAXIFS(Investment!$M:$M,Investment!$H:$H,LEFT($P326,30)&amp;"*"),),)</f>
        <v/>
      </c>
      <c r="O326" s="177" t="str">
        <f>IF($P326&lt;&gt;"",IF(MAXIFS(Investment!$AI:$AI,Investment!$H:$H,LEFT($P326,30)&amp;"*"),MAXIFS(Investment!$AI:$AI,Investment!$H:$H,LEFT($P326,30)&amp;"*"),),)</f>
        <v/>
      </c>
      <c r="P326" s="172"/>
      <c r="Q326" s="173"/>
      <c r="R326" s="171"/>
    </row>
    <row r="327">
      <c r="A327" s="165">
        <v>43461.0</v>
      </c>
      <c r="B327" s="55" t="s">
        <v>127</v>
      </c>
      <c r="C327" s="55" t="s">
        <v>128</v>
      </c>
      <c r="D327" s="55" t="s">
        <v>280</v>
      </c>
      <c r="E327" s="50">
        <v>-9.0</v>
      </c>
      <c r="F327" s="294">
        <f t="shared" si="330"/>
        <v>166.95</v>
      </c>
      <c r="G327" s="170">
        <v>1502.55</v>
      </c>
      <c r="H327" s="167" t="s">
        <v>780</v>
      </c>
      <c r="I327" s="171">
        <f t="shared" ref="I327:J327" si="332">IFS(AND($B327&lt;&gt;"",$E327&lt;&gt;""),IF(INDEX(N:N,MATCH($C327,$P:$P,0),1)&lt;&gt;"",$E327*INDEX(N:N,MATCH($C327,$P:$P,0),1)+$G327,""),AND($B327&lt;&gt;"",$D327="COST",$G327&lt;0),$G327,TRUE,)</f>
        <v>-164.88</v>
      </c>
      <c r="J327" s="171">
        <f t="shared" si="332"/>
        <v>-88.57905882</v>
      </c>
      <c r="K327" s="172" t="str">
        <f t="shared" si="3"/>
        <v>iShares Treasury Bond 7-10 UCITS</v>
      </c>
      <c r="L327" s="173">
        <f t="shared" si="4"/>
        <v>547</v>
      </c>
      <c r="M327" s="174">
        <f t="shared" si="5"/>
        <v>-81771.76</v>
      </c>
      <c r="N327" s="176" t="str">
        <f>IF($P327&lt;&gt;"",IF(MAXIFS(Investment!$M:$M,Investment!$H:$H,LEFT($P327,30)&amp;"*"),MAXIFS(Investment!$M:$M,Investment!$H:$H,LEFT($P327,30)&amp;"*"),),)</f>
        <v/>
      </c>
      <c r="O327" s="177" t="str">
        <f>IF($P327&lt;&gt;"",IF(MAXIFS(Investment!$AI:$AI,Investment!$H:$H,LEFT($P327,30)&amp;"*"),MAXIFS(Investment!$AI:$AI,Investment!$H:$H,LEFT($P327,30)&amp;"*"),),)</f>
        <v/>
      </c>
      <c r="P327" s="172"/>
      <c r="Q327" s="173"/>
      <c r="R327" s="171"/>
    </row>
    <row r="328">
      <c r="A328" s="165">
        <v>43461.0</v>
      </c>
      <c r="B328" s="55" t="s">
        <v>122</v>
      </c>
      <c r="C328" s="55" t="s">
        <v>123</v>
      </c>
      <c r="D328" s="55" t="s">
        <v>280</v>
      </c>
      <c r="E328" s="50">
        <v>-11.0</v>
      </c>
      <c r="F328" s="294">
        <f t="shared" si="330"/>
        <v>106.6</v>
      </c>
      <c r="G328" s="170">
        <v>1172.6</v>
      </c>
      <c r="H328" s="167" t="s">
        <v>781</v>
      </c>
      <c r="I328" s="171">
        <f t="shared" ref="I328:J328" si="333">IFS(AND($B328&lt;&gt;"",$E328&lt;&gt;""),IF(INDEX(N:N,MATCH($C328,$P:$P,0),1)&lt;&gt;"",$E328*INDEX(N:N,MATCH($C328,$P:$P,0),1)+$G328,""),AND($B328&lt;&gt;"",$D328="COST",$G328&lt;0),$G328,TRUE,)</f>
        <v>-209.22</v>
      </c>
      <c r="J328" s="171">
        <f t="shared" si="333"/>
        <v>-102.3681569</v>
      </c>
      <c r="K328" s="172" t="str">
        <f t="shared" si="3"/>
        <v>ETFS Physical Gold</v>
      </c>
      <c r="L328" s="173">
        <f t="shared" si="4"/>
        <v>353</v>
      </c>
      <c r="M328" s="174">
        <f t="shared" si="5"/>
        <v>-33586.49</v>
      </c>
      <c r="N328" s="176" t="str">
        <f>IF($P328&lt;&gt;"",IF(MAXIFS(Investment!$M:$M,Investment!$H:$H,LEFT($P328,30)&amp;"*"),MAXIFS(Investment!$M:$M,Investment!$H:$H,LEFT($P328,30)&amp;"*"),),)</f>
        <v/>
      </c>
      <c r="O328" s="177" t="str">
        <f>IF($P328&lt;&gt;"",IF(MAXIFS(Investment!$AI:$AI,Investment!$H:$H,LEFT($P328,30)&amp;"*"),MAXIFS(Investment!$AI:$AI,Investment!$H:$H,LEFT($P328,30)&amp;"*"),),)</f>
        <v/>
      </c>
      <c r="P328" s="172"/>
      <c r="Q328" s="173"/>
      <c r="R328" s="171"/>
    </row>
    <row r="329">
      <c r="A329" s="165">
        <v>43461.0</v>
      </c>
      <c r="B329" s="55" t="s">
        <v>134</v>
      </c>
      <c r="C329" s="55" t="s">
        <v>710</v>
      </c>
      <c r="D329" s="55" t="s">
        <v>301</v>
      </c>
      <c r="E329" s="50"/>
      <c r="F329" s="294" t="str">
        <f t="shared" si="330"/>
        <v/>
      </c>
      <c r="G329" s="170">
        <v>-2.28</v>
      </c>
      <c r="H329" s="167" t="s">
        <v>782</v>
      </c>
      <c r="I329" s="171">
        <f t="shared" ref="I329:J329" si="334">IFS(AND($B329&lt;&gt;"",$E329&lt;&gt;""),IF(INDEX(N:N,MATCH($C329,$P:$P,0),1)&lt;&gt;"",$E329*INDEX(N:N,MATCH($C329,$P:$P,0),1)+$G329,""),AND($B329&lt;&gt;"",$D329="COST",$G329&lt;0),$G329,TRUE,)</f>
        <v>-2.28</v>
      </c>
      <c r="J329" s="171">
        <f t="shared" si="334"/>
        <v>-2.28</v>
      </c>
      <c r="K329" s="172" t="str">
        <f t="shared" si="3"/>
        <v>iShares Treasury Bond 20+ UCITS USD Dist</v>
      </c>
      <c r="L329" s="173">
        <f t="shared" si="4"/>
        <v>0</v>
      </c>
      <c r="M329" s="174">
        <f t="shared" si="5"/>
        <v>27424.27</v>
      </c>
      <c r="N329" s="176" t="str">
        <f>IF($P329&lt;&gt;"",IF(MAXIFS(Investment!$M:$M,Investment!$H:$H,LEFT($P329,30)&amp;"*"),MAXIFS(Investment!$M:$M,Investment!$H:$H,LEFT($P329,30)&amp;"*"),),)</f>
        <v/>
      </c>
      <c r="O329" s="177" t="str">
        <f>IF($P329&lt;&gt;"",IF(MAXIFS(Investment!$AI:$AI,Investment!$H:$H,LEFT($P329,30)&amp;"*"),MAXIFS(Investment!$AI:$AI,Investment!$H:$H,LEFT($P329,30)&amp;"*"),),)</f>
        <v/>
      </c>
      <c r="P329" s="172"/>
      <c r="Q329" s="173"/>
      <c r="R329" s="171"/>
    </row>
    <row r="330">
      <c r="A330" s="165">
        <v>43461.0</v>
      </c>
      <c r="B330" s="55" t="s">
        <v>134</v>
      </c>
      <c r="C330" s="55" t="s">
        <v>710</v>
      </c>
      <c r="D330" s="55" t="s">
        <v>280</v>
      </c>
      <c r="E330" s="50">
        <v>-355.0</v>
      </c>
      <c r="F330" s="294">
        <f t="shared" si="330"/>
        <v>3.958028169</v>
      </c>
      <c r="G330" s="170">
        <v>1405.1</v>
      </c>
      <c r="H330" s="167" t="s">
        <v>783</v>
      </c>
      <c r="I330" s="171">
        <f t="shared" ref="I330:J330" si="335">IFS(AND($B330&lt;&gt;"",$E330&lt;&gt;""),IF(INDEX(N:N,MATCH($C330,$P:$P,0),1)&lt;&gt;"",$E330*INDEX(N:N,MATCH($C330,$P:$P,0),1)+$G330,""),AND($B330&lt;&gt;"",$D330="COST",$G330&lt;0),$G330,TRUE,)</f>
        <v>-233.58</v>
      </c>
      <c r="J330" s="171">
        <f t="shared" si="335"/>
        <v>-127.5912696</v>
      </c>
      <c r="K330" s="172" t="str">
        <f t="shared" si="3"/>
        <v>iShares Treasury Bond 20+ UCITS USD Dist</v>
      </c>
      <c r="L330" s="173">
        <f t="shared" si="4"/>
        <v>0</v>
      </c>
      <c r="M330" s="174">
        <f t="shared" si="5"/>
        <v>27424.27</v>
      </c>
      <c r="N330" s="176" t="str">
        <f>IF($P330&lt;&gt;"",IF(MAXIFS(Investment!$M:$M,Investment!$H:$H,LEFT($P330,30)&amp;"*"),MAXIFS(Investment!$M:$M,Investment!$H:$H,LEFT($P330,30)&amp;"*"),),)</f>
        <v/>
      </c>
      <c r="O330" s="177" t="str">
        <f>IF($P330&lt;&gt;"",IF(MAXIFS(Investment!$AI:$AI,Investment!$H:$H,LEFT($P330,30)&amp;"*"),MAXIFS(Investment!$AI:$AI,Investment!$H:$H,LEFT($P330,30)&amp;"*"),),)</f>
        <v/>
      </c>
      <c r="P330" s="172"/>
      <c r="Q330" s="173"/>
      <c r="R330" s="171"/>
    </row>
    <row r="331">
      <c r="A331" s="165">
        <v>43461.0</v>
      </c>
      <c r="B331" s="55" t="s">
        <v>134</v>
      </c>
      <c r="C331" s="55" t="s">
        <v>710</v>
      </c>
      <c r="D331" s="55" t="s">
        <v>301</v>
      </c>
      <c r="E331" s="50"/>
      <c r="F331" s="294" t="str">
        <f t="shared" si="330"/>
        <v/>
      </c>
      <c r="G331" s="170">
        <v>-0.55</v>
      </c>
      <c r="H331" s="167" t="s">
        <v>784</v>
      </c>
      <c r="I331" s="171">
        <f t="shared" ref="I331:J331" si="336">IFS(AND($B331&lt;&gt;"",$E331&lt;&gt;""),IF(INDEX(N:N,MATCH($C331,$P:$P,0),1)&lt;&gt;"",$E331*INDEX(N:N,MATCH($C331,$P:$P,0),1)+$G331,""),AND($B331&lt;&gt;"",$D331="COST",$G331&lt;0),$G331,TRUE,)</f>
        <v>-0.55</v>
      </c>
      <c r="J331" s="171">
        <f t="shared" si="336"/>
        <v>-0.55</v>
      </c>
      <c r="K331" s="172" t="str">
        <f t="shared" si="3"/>
        <v>iShares Treasury Bond 20+ UCITS USD Dist</v>
      </c>
      <c r="L331" s="173">
        <f t="shared" si="4"/>
        <v>0</v>
      </c>
      <c r="M331" s="174">
        <f t="shared" si="5"/>
        <v>27424.27</v>
      </c>
      <c r="N331" s="176" t="str">
        <f>IF($P331&lt;&gt;"",IF(MAXIFS(Investment!$M:$M,Investment!$H:$H,LEFT($P331,30)&amp;"*"),MAXIFS(Investment!$M:$M,Investment!$H:$H,LEFT($P331,30)&amp;"*"),),)</f>
        <v/>
      </c>
      <c r="O331" s="177" t="str">
        <f>IF($P331&lt;&gt;"",IF(MAXIFS(Investment!$AI:$AI,Investment!$H:$H,LEFT($P331,30)&amp;"*"),MAXIFS(Investment!$AI:$AI,Investment!$H:$H,LEFT($P331,30)&amp;"*"),),)</f>
        <v/>
      </c>
      <c r="P331" s="172"/>
      <c r="Q331" s="173"/>
      <c r="R331" s="171"/>
    </row>
    <row r="332">
      <c r="A332" s="165">
        <v>43461.0</v>
      </c>
      <c r="B332" s="55" t="s">
        <v>134</v>
      </c>
      <c r="C332" s="55" t="s">
        <v>710</v>
      </c>
      <c r="D332" s="55" t="s">
        <v>280</v>
      </c>
      <c r="E332" s="50">
        <v>-691.0</v>
      </c>
      <c r="F332" s="294">
        <f t="shared" si="330"/>
        <v>3.95577424</v>
      </c>
      <c r="G332" s="170">
        <v>2733.44</v>
      </c>
      <c r="H332" s="167" t="s">
        <v>785</v>
      </c>
      <c r="I332" s="171">
        <f t="shared" ref="I332:J332" si="337">IFS(AND($B332&lt;&gt;"",$E332&lt;&gt;""),IF(INDEX(N:N,MATCH($C332,$P:$P,0),1)&lt;&gt;"",$E332*INDEX(N:N,MATCH($C332,$P:$P,0),1)+$G332,""),AND($B332&lt;&gt;"",$D332="COST",$G332&lt;0),$G332,TRUE,)</f>
        <v>-456.216</v>
      </c>
      <c r="J332" s="171">
        <f t="shared" si="337"/>
        <v>-249.9111755</v>
      </c>
      <c r="K332" s="172" t="str">
        <f t="shared" si="3"/>
        <v>iShares Treasury Bond 20+ UCITS USD Dist</v>
      </c>
      <c r="L332" s="173">
        <f t="shared" si="4"/>
        <v>0</v>
      </c>
      <c r="M332" s="174">
        <f t="shared" si="5"/>
        <v>27424.27</v>
      </c>
      <c r="N332" s="176" t="str">
        <f>IF($P332&lt;&gt;"",IF(MAXIFS(Investment!$M:$M,Investment!$H:$H,LEFT($P332,30)&amp;"*"),MAXIFS(Investment!$M:$M,Investment!$H:$H,LEFT($P332,30)&amp;"*"),),)</f>
        <v/>
      </c>
      <c r="O332" s="177" t="str">
        <f>IF($P332&lt;&gt;"",IF(MAXIFS(Investment!$AI:$AI,Investment!$H:$H,LEFT($P332,30)&amp;"*"),MAXIFS(Investment!$AI:$AI,Investment!$H:$H,LEFT($P332,30)&amp;"*"),),)</f>
        <v/>
      </c>
      <c r="P332" s="172"/>
      <c r="Q332" s="173"/>
      <c r="R332" s="171"/>
    </row>
    <row r="333">
      <c r="A333" s="165">
        <v>43455.0</v>
      </c>
      <c r="B333" s="55" t="s">
        <v>122</v>
      </c>
      <c r="C333" s="55" t="s">
        <v>123</v>
      </c>
      <c r="D333" s="55" t="s">
        <v>280</v>
      </c>
      <c r="E333" s="50">
        <v>-10.0</v>
      </c>
      <c r="F333" s="294">
        <f t="shared" si="330"/>
        <v>105.65</v>
      </c>
      <c r="G333" s="170">
        <v>1056.5</v>
      </c>
      <c r="H333" s="167" t="s">
        <v>786</v>
      </c>
      <c r="I333" s="171">
        <f t="shared" ref="I333:J333" si="338">IFS(AND($B333&lt;&gt;"",$E333&lt;&gt;""),IF(INDEX(N:N,MATCH($C333,$P:$P,0),1)&lt;&gt;"",$E333*INDEX(N:N,MATCH($C333,$P:$P,0),1)+$G333,""),AND($B333&lt;&gt;"",$D333="COST",$G333&lt;0),$G333,TRUE,)</f>
        <v>-199.7</v>
      </c>
      <c r="J333" s="171">
        <f t="shared" si="338"/>
        <v>-102.5619608</v>
      </c>
      <c r="K333" s="172" t="str">
        <f t="shared" si="3"/>
        <v>ETFS Physical Gold</v>
      </c>
      <c r="L333" s="173">
        <f t="shared" si="4"/>
        <v>353</v>
      </c>
      <c r="M333" s="174">
        <f t="shared" si="5"/>
        <v>-33586.49</v>
      </c>
      <c r="N333" s="176" t="str">
        <f>IF($P333&lt;&gt;"",IF(MAXIFS(Investment!$M:$M,Investment!$H:$H,LEFT($P333,30)&amp;"*"),MAXIFS(Investment!$M:$M,Investment!$H:$H,LEFT($P333,30)&amp;"*"),),)</f>
        <v/>
      </c>
      <c r="O333" s="177" t="str">
        <f>IF($P333&lt;&gt;"",IF(MAXIFS(Investment!$AI:$AI,Investment!$H:$H,LEFT($P333,30)&amp;"*"),MAXIFS(Investment!$AI:$AI,Investment!$H:$H,LEFT($P333,30)&amp;"*"),),)</f>
        <v/>
      </c>
      <c r="P333" s="172"/>
      <c r="Q333" s="173"/>
      <c r="R333" s="171"/>
    </row>
    <row r="334">
      <c r="A334" s="165">
        <v>43455.0</v>
      </c>
      <c r="B334" s="55" t="s">
        <v>127</v>
      </c>
      <c r="C334" s="55" t="s">
        <v>128</v>
      </c>
      <c r="D334" s="55" t="s">
        <v>280</v>
      </c>
      <c r="E334" s="50">
        <v>-10.0</v>
      </c>
      <c r="F334" s="294">
        <f t="shared" si="330"/>
        <v>166.55</v>
      </c>
      <c r="G334" s="170">
        <v>1665.5</v>
      </c>
      <c r="H334" s="167" t="s">
        <v>787</v>
      </c>
      <c r="I334" s="171">
        <f t="shared" ref="I334:J334" si="339">IFS(AND($B334&lt;&gt;"",$E334&lt;&gt;""),IF(INDEX(N:N,MATCH($C334,$P:$P,0),1)&lt;&gt;"",$E334*INDEX(N:N,MATCH($C334,$P:$P,0),1)+$G334,""),AND($B334&lt;&gt;"",$D334="COST",$G334&lt;0),$G334,TRUE,)</f>
        <v>-187.2</v>
      </c>
      <c r="J334" s="171">
        <f t="shared" si="339"/>
        <v>-102.4211765</v>
      </c>
      <c r="K334" s="172" t="str">
        <f t="shared" si="3"/>
        <v>iShares Treasury Bond 7-10 UCITS</v>
      </c>
      <c r="L334" s="173">
        <f t="shared" si="4"/>
        <v>547</v>
      </c>
      <c r="M334" s="174">
        <f t="shared" si="5"/>
        <v>-81771.76</v>
      </c>
      <c r="N334" s="176" t="str">
        <f>IF($P334&lt;&gt;"",IF(MAXIFS(Investment!$M:$M,Investment!$H:$H,LEFT($P334,30)&amp;"*"),MAXIFS(Investment!$M:$M,Investment!$H:$H,LEFT($P334,30)&amp;"*"),),)</f>
        <v/>
      </c>
      <c r="O334" s="177" t="str">
        <f>IF($P334&lt;&gt;"",IF(MAXIFS(Investment!$AI:$AI,Investment!$H:$H,LEFT($P334,30)&amp;"*"),MAXIFS(Investment!$AI:$AI,Investment!$H:$H,LEFT($P334,30)&amp;"*"),),)</f>
        <v/>
      </c>
      <c r="P334" s="172"/>
      <c r="Q334" s="173"/>
      <c r="R334" s="171"/>
    </row>
    <row r="335">
      <c r="A335" s="165">
        <v>43454.0</v>
      </c>
      <c r="B335" s="55" t="s">
        <v>138</v>
      </c>
      <c r="C335" s="55" t="s">
        <v>139</v>
      </c>
      <c r="D335" s="55" t="s">
        <v>332</v>
      </c>
      <c r="E335" s="50">
        <v>100.0</v>
      </c>
      <c r="F335" s="294">
        <f t="shared" si="330"/>
        <v>41.63</v>
      </c>
      <c r="G335" s="170">
        <v>-4163.0</v>
      </c>
      <c r="H335" s="167" t="s">
        <v>788</v>
      </c>
      <c r="I335" s="171">
        <f t="shared" ref="I335:J335" si="340">IFS(AND($B335&lt;&gt;"",$E335&lt;&gt;""),IF(INDEX(N:N,MATCH($C335,$P:$P,0),1)&lt;&gt;"",$E335*INDEX(N:N,MATCH($C335,$P:$P,0),1)+$G335,""),AND($B335&lt;&gt;"",$D335="COST",$G335&lt;0),$G335,TRUE,)</f>
        <v>1165.5</v>
      </c>
      <c r="J335" s="171">
        <f t="shared" si="340"/>
        <v>650.7784314</v>
      </c>
      <c r="K335" s="172" t="str">
        <f t="shared" si="3"/>
        <v>Vanguard S&amp;P 500 UCITS</v>
      </c>
      <c r="L335" s="173">
        <f t="shared" si="4"/>
        <v>3715</v>
      </c>
      <c r="M335" s="174">
        <f t="shared" si="5"/>
        <v>-151722.66</v>
      </c>
      <c r="N335" s="176" t="str">
        <f>IF($P335&lt;&gt;"",IF(MAXIFS(Investment!$M:$M,Investment!$H:$H,LEFT($P335,30)&amp;"*"),MAXIFS(Investment!$M:$M,Investment!$H:$H,LEFT($P335,30)&amp;"*"),),)</f>
        <v/>
      </c>
      <c r="O335" s="177" t="str">
        <f>IF($P335&lt;&gt;"",IF(MAXIFS(Investment!$AI:$AI,Investment!$H:$H,LEFT($P335,30)&amp;"*"),MAXIFS(Investment!$AI:$AI,Investment!$H:$H,LEFT($P335,30)&amp;"*"),),)</f>
        <v/>
      </c>
      <c r="P335" s="172"/>
      <c r="Q335" s="173"/>
      <c r="R335" s="171"/>
    </row>
    <row r="336">
      <c r="A336" s="165">
        <v>43454.0</v>
      </c>
      <c r="B336" s="55" t="s">
        <v>138</v>
      </c>
      <c r="C336" s="55" t="s">
        <v>139</v>
      </c>
      <c r="D336" s="55" t="s">
        <v>301</v>
      </c>
      <c r="E336" s="50"/>
      <c r="F336" s="169"/>
      <c r="G336" s="170">
        <v>-2.83</v>
      </c>
      <c r="H336" s="167" t="s">
        <v>789</v>
      </c>
      <c r="I336" s="171">
        <f t="shared" ref="I336:J336" si="341">IFS(AND($B336&lt;&gt;"",$E336&lt;&gt;""),IF(INDEX(N:N,MATCH($C336,$P:$P,0),1)&lt;&gt;"",$E336*INDEX(N:N,MATCH($C336,$P:$P,0),1)+$G336,""),AND($B336&lt;&gt;"",$D336="COST",$G336&lt;0),$G336,TRUE,)</f>
        <v>-2.83</v>
      </c>
      <c r="J336" s="171">
        <f t="shared" si="341"/>
        <v>-2.83</v>
      </c>
      <c r="K336" s="172" t="str">
        <f t="shared" si="3"/>
        <v>Vanguard S&amp;P 500 UCITS</v>
      </c>
      <c r="L336" s="173">
        <f t="shared" si="4"/>
        <v>3715</v>
      </c>
      <c r="M336" s="174">
        <f t="shared" si="5"/>
        <v>-151722.66</v>
      </c>
      <c r="N336" s="176" t="str">
        <f>IF($P336&lt;&gt;"",IF(MAXIFS(Investment!$M:$M,Investment!$H:$H,LEFT($P336,30)&amp;"*"),MAXIFS(Investment!$M:$M,Investment!$H:$H,LEFT($P336,30)&amp;"*"),),)</f>
        <v/>
      </c>
      <c r="O336" s="177" t="str">
        <f>IF($P336&lt;&gt;"",IF(MAXIFS(Investment!$AI:$AI,Investment!$H:$H,LEFT($P336,30)&amp;"*"),MAXIFS(Investment!$AI:$AI,Investment!$H:$H,LEFT($P336,30)&amp;"*"),),)</f>
        <v/>
      </c>
      <c r="P336" s="172"/>
      <c r="Q336" s="173"/>
      <c r="R336" s="171"/>
    </row>
    <row r="337">
      <c r="A337" s="165">
        <v>43454.0</v>
      </c>
      <c r="B337" s="55" t="s">
        <v>134</v>
      </c>
      <c r="C337" s="55" t="s">
        <v>710</v>
      </c>
      <c r="D337" s="55" t="s">
        <v>301</v>
      </c>
      <c r="E337" s="50"/>
      <c r="F337" s="169"/>
      <c r="G337" s="170">
        <v>-2.43</v>
      </c>
      <c r="H337" s="167" t="s">
        <v>790</v>
      </c>
      <c r="I337" s="171">
        <f t="shared" ref="I337:J337" si="342">IFS(AND($B337&lt;&gt;"",$E337&lt;&gt;""),IF(INDEX(N:N,MATCH($C337,$P:$P,0),1)&lt;&gt;"",$E337*INDEX(N:N,MATCH($C337,$P:$P,0),1)+$G337,""),AND($B337&lt;&gt;"",$D337="COST",$G337&lt;0),$G337,TRUE,)</f>
        <v>-2.43</v>
      </c>
      <c r="J337" s="171">
        <f t="shared" si="342"/>
        <v>-2.43</v>
      </c>
      <c r="K337" s="172" t="str">
        <f t="shared" si="3"/>
        <v>iShares Treasury Bond 20+ UCITS USD Dist</v>
      </c>
      <c r="L337" s="173">
        <f t="shared" si="4"/>
        <v>0</v>
      </c>
      <c r="M337" s="174">
        <f t="shared" si="5"/>
        <v>27424.27</v>
      </c>
      <c r="N337" s="176" t="str">
        <f>IF($P337&lt;&gt;"",IF(MAXIFS(Investment!$M:$M,Investment!$H:$H,LEFT($P337,30)&amp;"*"),MAXIFS(Investment!$M:$M,Investment!$H:$H,LEFT($P337,30)&amp;"*"),),)</f>
        <v/>
      </c>
      <c r="O337" s="177" t="str">
        <f>IF($P337&lt;&gt;"",IF(MAXIFS(Investment!$AI:$AI,Investment!$H:$H,LEFT($P337,30)&amp;"*"),MAXIFS(Investment!$AI:$AI,Investment!$H:$H,LEFT($P337,30)&amp;"*"),),)</f>
        <v/>
      </c>
      <c r="P337" s="172"/>
      <c r="Q337" s="173"/>
      <c r="R337" s="171"/>
    </row>
    <row r="338">
      <c r="A338" s="165">
        <v>43454.0</v>
      </c>
      <c r="B338" s="55" t="s">
        <v>134</v>
      </c>
      <c r="C338" s="55" t="s">
        <v>710</v>
      </c>
      <c r="D338" s="55" t="s">
        <v>280</v>
      </c>
      <c r="E338" s="50">
        <v>-544.0</v>
      </c>
      <c r="F338" s="169">
        <v>3.971</v>
      </c>
      <c r="G338" s="170">
        <v>2160.24</v>
      </c>
      <c r="H338" s="167" t="s">
        <v>791</v>
      </c>
      <c r="I338" s="171">
        <f t="shared" ref="I338:J338" si="343">IFS(AND($B338&lt;&gt;"",$E338&lt;&gt;""),IF(INDEX(N:N,MATCH($C338,$P:$P,0),1)&lt;&gt;"",$E338*INDEX(N:N,MATCH($C338,$P:$P,0),1)+$G338,""),AND($B338&lt;&gt;"",$D338="COST",$G338&lt;0),$G338,TRUE,)</f>
        <v>-350.864</v>
      </c>
      <c r="J338" s="171">
        <f t="shared" si="343"/>
        <v>-188.4474667</v>
      </c>
      <c r="K338" s="172" t="str">
        <f t="shared" si="3"/>
        <v>iShares Treasury Bond 20+ UCITS USD Dist</v>
      </c>
      <c r="L338" s="173">
        <f t="shared" si="4"/>
        <v>0</v>
      </c>
      <c r="M338" s="174">
        <f t="shared" si="5"/>
        <v>27424.27</v>
      </c>
      <c r="N338" s="176" t="str">
        <f>IF($P338&lt;&gt;"",IF(MAXIFS(Investment!$M:$M,Investment!$H:$H,LEFT($P338,30)&amp;"*"),MAXIFS(Investment!$M:$M,Investment!$H:$H,LEFT($P338,30)&amp;"*"),),)</f>
        <v/>
      </c>
      <c r="O338" s="177" t="str">
        <f>IF($P338&lt;&gt;"",IF(MAXIFS(Investment!$AI:$AI,Investment!$H:$H,LEFT($P338,30)&amp;"*"),MAXIFS(Investment!$AI:$AI,Investment!$H:$H,LEFT($P338,30)&amp;"*"),),)</f>
        <v/>
      </c>
      <c r="P338" s="172"/>
      <c r="Q338" s="173"/>
      <c r="R338" s="171"/>
    </row>
    <row r="339">
      <c r="A339" s="165">
        <v>43454.0</v>
      </c>
      <c r="B339" s="55" t="s">
        <v>134</v>
      </c>
      <c r="C339" s="55" t="s">
        <v>710</v>
      </c>
      <c r="D339" s="55" t="s">
        <v>301</v>
      </c>
      <c r="E339" s="50"/>
      <c r="F339" s="169"/>
      <c r="G339" s="170">
        <v>-3.41</v>
      </c>
      <c r="H339" s="167" t="s">
        <v>792</v>
      </c>
      <c r="I339" s="171">
        <f t="shared" ref="I339:J339" si="344">IFS(AND($B339&lt;&gt;"",$E339&lt;&gt;""),IF(INDEX(N:N,MATCH($C339,$P:$P,0),1)&lt;&gt;"",$E339*INDEX(N:N,MATCH($C339,$P:$P,0),1)+$G339,""),AND($B339&lt;&gt;"",$D339="COST",$G339&lt;0),$G339,TRUE,)</f>
        <v>-3.41</v>
      </c>
      <c r="J339" s="171">
        <f t="shared" si="344"/>
        <v>-3.41</v>
      </c>
      <c r="K339" s="172" t="str">
        <f t="shared" si="3"/>
        <v>iShares Treasury Bond 20+ UCITS USD Dist</v>
      </c>
      <c r="L339" s="173">
        <f t="shared" si="4"/>
        <v>0</v>
      </c>
      <c r="M339" s="174">
        <f t="shared" si="5"/>
        <v>27424.27</v>
      </c>
      <c r="N339" s="176" t="str">
        <f>IF($P339&lt;&gt;"",IF(MAXIFS(Investment!$M:$M,Investment!$H:$H,LEFT($P339,30)&amp;"*"),MAXIFS(Investment!$M:$M,Investment!$H:$H,LEFT($P339,30)&amp;"*"),),)</f>
        <v/>
      </c>
      <c r="O339" s="177" t="str">
        <f>IF($P339&lt;&gt;"",IF(MAXIFS(Investment!$AI:$AI,Investment!$H:$H,LEFT($P339,30)&amp;"*"),MAXIFS(Investment!$AI:$AI,Investment!$H:$H,LEFT($P339,30)&amp;"*"),),)</f>
        <v/>
      </c>
      <c r="P339" s="172"/>
      <c r="Q339" s="173"/>
      <c r="R339" s="171"/>
    </row>
    <row r="340">
      <c r="A340" s="165">
        <v>43454.0</v>
      </c>
      <c r="B340" s="55" t="s">
        <v>134</v>
      </c>
      <c r="C340" s="55" t="s">
        <v>710</v>
      </c>
      <c r="D340" s="55" t="s">
        <v>280</v>
      </c>
      <c r="E340" s="50">
        <v>-1760.0</v>
      </c>
      <c r="F340" s="169">
        <v>3.985</v>
      </c>
      <c r="G340" s="170">
        <v>7013.08</v>
      </c>
      <c r="H340" s="167" t="s">
        <v>793</v>
      </c>
      <c r="I340" s="171">
        <f t="shared" ref="I340:J340" si="345">IFS(AND($B340&lt;&gt;"",$E340&lt;&gt;""),IF(INDEX(N:N,MATCH($C340,$P:$P,0),1)&lt;&gt;"",$E340*INDEX(N:N,MATCH($C340,$P:$P,0),1)+$G340,""),AND($B340&lt;&gt;"",$D340="COST",$G340&lt;0),$G340,TRUE,)</f>
        <v>-1111.08</v>
      </c>
      <c r="J340" s="171">
        <f t="shared" si="345"/>
        <v>-585.6147451</v>
      </c>
      <c r="K340" s="172" t="str">
        <f t="shared" si="3"/>
        <v>iShares Treasury Bond 20+ UCITS USD Dist</v>
      </c>
      <c r="L340" s="173">
        <f t="shared" si="4"/>
        <v>0</v>
      </c>
      <c r="M340" s="174">
        <f t="shared" si="5"/>
        <v>27424.27</v>
      </c>
      <c r="N340" s="176" t="str">
        <f>IF($P340&lt;&gt;"",IF(MAXIFS(Investment!$M:$M,Investment!$H:$H,LEFT($P340,30)&amp;"*"),MAXIFS(Investment!$M:$M,Investment!$H:$H,LEFT($P340,30)&amp;"*"),),)</f>
        <v/>
      </c>
      <c r="O340" s="177" t="str">
        <f>IF($P340&lt;&gt;"",IF(MAXIFS(Investment!$AI:$AI,Investment!$H:$H,LEFT($P340,30)&amp;"*"),MAXIFS(Investment!$AI:$AI,Investment!$H:$H,LEFT($P340,30)&amp;"*"),),)</f>
        <v/>
      </c>
      <c r="P340" s="172"/>
      <c r="Q340" s="173"/>
      <c r="R340" s="171"/>
    </row>
    <row r="341">
      <c r="A341" s="165">
        <v>43453.0</v>
      </c>
      <c r="B341" s="55" t="s">
        <v>134</v>
      </c>
      <c r="C341" s="55" t="s">
        <v>710</v>
      </c>
      <c r="D341" s="55" t="s">
        <v>301</v>
      </c>
      <c r="E341" s="55"/>
      <c r="F341" s="169"/>
      <c r="G341" s="170">
        <v>-2.92</v>
      </c>
      <c r="H341" s="167" t="s">
        <v>794</v>
      </c>
      <c r="I341" s="171">
        <f t="shared" ref="I341:J341" si="346">IFS(AND($B341&lt;&gt;"",$E341&lt;&gt;""),IF(INDEX(N:N,MATCH($C341,$P:$P,0),1)&lt;&gt;"",$E341*INDEX(N:N,MATCH($C341,$P:$P,0),1)+$G341,""),AND($B341&lt;&gt;"",$D341="COST",$G341&lt;0),$G341,TRUE,)</f>
        <v>-2.92</v>
      </c>
      <c r="J341" s="171">
        <f t="shared" si="346"/>
        <v>-2.92</v>
      </c>
      <c r="K341" s="172" t="str">
        <f t="shared" si="3"/>
        <v>iShares Treasury Bond 20+ UCITS USD Dist</v>
      </c>
      <c r="L341" s="173">
        <f t="shared" si="4"/>
        <v>0</v>
      </c>
      <c r="M341" s="174">
        <f t="shared" si="5"/>
        <v>27424.27</v>
      </c>
      <c r="N341" s="176" t="str">
        <f>IF($P341&lt;&gt;"",IF(MAXIFS(Investment!$M:$M,Investment!$H:$H,LEFT($P341,30)&amp;"*"),MAXIFS(Investment!$M:$M,Investment!$H:$H,LEFT($P341,30)&amp;"*"),),)</f>
        <v/>
      </c>
      <c r="O341" s="177" t="str">
        <f>IF($P341&lt;&gt;"",IF(MAXIFS(Investment!$AI:$AI,Investment!$H:$H,LEFT($P341,30)&amp;"*"),MAXIFS(Investment!$AI:$AI,Investment!$H:$H,LEFT($P341,30)&amp;"*"),),)</f>
        <v/>
      </c>
      <c r="P341" s="172"/>
      <c r="Q341" s="173"/>
      <c r="R341" s="171"/>
    </row>
    <row r="342">
      <c r="A342" s="165">
        <v>43453.0</v>
      </c>
      <c r="B342" s="55" t="s">
        <v>134</v>
      </c>
      <c r="C342" s="55" t="s">
        <v>710</v>
      </c>
      <c r="D342" s="55" t="s">
        <v>280</v>
      </c>
      <c r="E342" s="50">
        <v>-1177.0</v>
      </c>
      <c r="F342" s="169">
        <v>3.919</v>
      </c>
      <c r="G342" s="170">
        <v>4613.0</v>
      </c>
      <c r="H342" s="167" t="s">
        <v>795</v>
      </c>
      <c r="I342" s="171">
        <f t="shared" ref="I342:J342" si="347">IFS(AND($B342&lt;&gt;"",$E342&lt;&gt;""),IF(INDEX(N:N,MATCH($C342,$P:$P,0),1)&lt;&gt;"",$E342*INDEX(N:N,MATCH($C342,$P:$P,0),1)+$G342,""),AND($B342&lt;&gt;"",$D342="COST",$G342&lt;0),$G342,TRUE,)</f>
        <v>-820.032</v>
      </c>
      <c r="J342" s="171">
        <f t="shared" si="347"/>
        <v>-468.6271108</v>
      </c>
      <c r="K342" s="172" t="str">
        <f t="shared" si="3"/>
        <v>iShares Treasury Bond 20+ UCITS USD Dist</v>
      </c>
      <c r="L342" s="173">
        <f t="shared" si="4"/>
        <v>0</v>
      </c>
      <c r="M342" s="174">
        <f t="shared" si="5"/>
        <v>27424.27</v>
      </c>
      <c r="N342" s="176" t="str">
        <f>IF($P342&lt;&gt;"",IF(MAXIFS(Investment!$M:$M,Investment!$H:$H,LEFT($P342,30)&amp;"*"),MAXIFS(Investment!$M:$M,Investment!$H:$H,LEFT($P342,30)&amp;"*"),),)</f>
        <v/>
      </c>
      <c r="O342" s="177" t="str">
        <f>IF($P342&lt;&gt;"",IF(MAXIFS(Investment!$AI:$AI,Investment!$H:$H,LEFT($P342,30)&amp;"*"),MAXIFS(Investment!$AI:$AI,Investment!$H:$H,LEFT($P342,30)&amp;"*"),),)</f>
        <v/>
      </c>
      <c r="P342" s="172"/>
      <c r="Q342" s="173"/>
      <c r="R342" s="171"/>
    </row>
    <row r="343">
      <c r="A343" s="165">
        <v>43452.0</v>
      </c>
      <c r="B343" s="55" t="s">
        <v>127</v>
      </c>
      <c r="C343" s="55" t="s">
        <v>128</v>
      </c>
      <c r="D343" s="55" t="s">
        <v>280</v>
      </c>
      <c r="E343" s="55">
        <v>-15.0</v>
      </c>
      <c r="F343" s="169">
        <v>166.3</v>
      </c>
      <c r="G343" s="170">
        <v>2494.5</v>
      </c>
      <c r="H343" s="167" t="s">
        <v>796</v>
      </c>
      <c r="I343" s="171">
        <f t="shared" ref="I343:J343" si="348">IFS(AND($B343&lt;&gt;"",$E343&lt;&gt;""),IF(INDEX(N:N,MATCH($C343,$P:$P,0),1)&lt;&gt;"",$E343*INDEX(N:N,MATCH($C343,$P:$P,0),1)+$G343,""),AND($B343&lt;&gt;"",$D343="COST",$G343&lt;0),$G343,TRUE,)</f>
        <v>-284.55</v>
      </c>
      <c r="J343" s="171">
        <f t="shared" si="348"/>
        <v>-157.3817647</v>
      </c>
      <c r="K343" s="172" t="str">
        <f t="shared" si="3"/>
        <v>iShares Treasury Bond 7-10 UCITS</v>
      </c>
      <c r="L343" s="173">
        <f t="shared" si="4"/>
        <v>547</v>
      </c>
      <c r="M343" s="174">
        <f t="shared" si="5"/>
        <v>-81771.76</v>
      </c>
      <c r="N343" s="176" t="str">
        <f>IF($P343&lt;&gt;"",IF(MAXIFS(Investment!$M:$M,Investment!$H:$H,LEFT($P343,30)&amp;"*"),MAXIFS(Investment!$M:$M,Investment!$H:$H,LEFT($P343,30)&amp;"*"),),)</f>
        <v/>
      </c>
      <c r="O343" s="177" t="str">
        <f>IF($P343&lt;&gt;"",IF(MAXIFS(Investment!$AI:$AI,Investment!$H:$H,LEFT($P343,30)&amp;"*"),MAXIFS(Investment!$AI:$AI,Investment!$H:$H,LEFT($P343,30)&amp;"*"),),)</f>
        <v/>
      </c>
      <c r="P343" s="172"/>
      <c r="Q343" s="173"/>
      <c r="R343" s="171"/>
    </row>
    <row r="344">
      <c r="A344" s="165">
        <v>43452.0</v>
      </c>
      <c r="B344" s="55" t="s">
        <v>122</v>
      </c>
      <c r="C344" s="55" t="s">
        <v>123</v>
      </c>
      <c r="D344" s="55" t="s">
        <v>280</v>
      </c>
      <c r="E344" s="55">
        <v>-10.0</v>
      </c>
      <c r="F344" s="169">
        <v>104.83</v>
      </c>
      <c r="G344" s="170">
        <v>1048.3</v>
      </c>
      <c r="H344" s="167" t="s">
        <v>797</v>
      </c>
      <c r="I344" s="171">
        <f t="shared" ref="I344:J344" si="349">IFS(AND($B344&lt;&gt;"",$E344&lt;&gt;""),IF(INDEX(N:N,MATCH($C344,$P:$P,0),1)&lt;&gt;"",$E344*INDEX(N:N,MATCH($C344,$P:$P,0),1)+$G344,""),AND($B344&lt;&gt;"",$D344="COST",$G344&lt;0),$G344,TRUE,)</f>
        <v>-207.9</v>
      </c>
      <c r="J344" s="171">
        <f t="shared" si="349"/>
        <v>-110.7619608</v>
      </c>
      <c r="K344" s="172" t="str">
        <f t="shared" si="3"/>
        <v>ETFS Physical Gold</v>
      </c>
      <c r="L344" s="173">
        <f t="shared" si="4"/>
        <v>353</v>
      </c>
      <c r="M344" s="174">
        <f t="shared" si="5"/>
        <v>-33586.49</v>
      </c>
      <c r="N344" s="176" t="str">
        <f>IF($P344&lt;&gt;"",IF(MAXIFS(Investment!$M:$M,Investment!$H:$H,LEFT($P344,30)&amp;"*"),MAXIFS(Investment!$M:$M,Investment!$H:$H,LEFT($P344,30)&amp;"*"),),)</f>
        <v/>
      </c>
      <c r="O344" s="177" t="str">
        <f>IF($P344&lt;&gt;"",IF(MAXIFS(Investment!$AI:$AI,Investment!$H:$H,LEFT($P344,30)&amp;"*"),MAXIFS(Investment!$AI:$AI,Investment!$H:$H,LEFT($P344,30)&amp;"*"),),)</f>
        <v/>
      </c>
      <c r="P344" s="172"/>
      <c r="Q344" s="173"/>
      <c r="R344" s="171"/>
    </row>
    <row r="345">
      <c r="A345" s="165">
        <v>43451.0</v>
      </c>
      <c r="B345" s="166" t="s">
        <v>138</v>
      </c>
      <c r="C345" s="167" t="s">
        <v>139</v>
      </c>
      <c r="D345" s="168" t="s">
        <v>332</v>
      </c>
      <c r="E345" s="168">
        <v>48.0</v>
      </c>
      <c r="F345" s="169">
        <v>43.36</v>
      </c>
      <c r="G345" s="170">
        <v>-2081.28</v>
      </c>
      <c r="H345" s="167" t="s">
        <v>798</v>
      </c>
      <c r="I345" s="171">
        <f t="shared" ref="I345:J345" si="350">IFS(AND($B345&lt;&gt;"",$E345&lt;&gt;""),IF(INDEX(N:N,MATCH($C345,$P:$P,0),1)&lt;&gt;"",$E345*INDEX(N:N,MATCH($C345,$P:$P,0),1)+$G345,""),AND($B345&lt;&gt;"",$D345="COST",$G345&lt;0),$G345,TRUE,)</f>
        <v>476.4</v>
      </c>
      <c r="J345" s="171">
        <f t="shared" si="350"/>
        <v>229.3336471</v>
      </c>
      <c r="K345" s="172" t="str">
        <f t="shared" si="3"/>
        <v>Vanguard S&amp;P 500 UCITS</v>
      </c>
      <c r="L345" s="173">
        <f t="shared" si="4"/>
        <v>3715</v>
      </c>
      <c r="M345" s="174">
        <f t="shared" si="5"/>
        <v>-151722.66</v>
      </c>
      <c r="N345" s="176" t="str">
        <f>IF($P345&lt;&gt;"",IF(MAXIFS(Investment!$M:$M,Investment!$H:$H,LEFT($P345,30)&amp;"*"),MAXIFS(Investment!$M:$M,Investment!$H:$H,LEFT($P345,30)&amp;"*"),),)</f>
        <v/>
      </c>
      <c r="O345" s="177" t="str">
        <f>IF($P345&lt;&gt;"",IF(MAXIFS(Investment!$AI:$AI,Investment!$H:$H,LEFT($P345,30)&amp;"*"),MAXIFS(Investment!$AI:$AI,Investment!$H:$H,LEFT($P345,30)&amp;"*"),),)</f>
        <v/>
      </c>
      <c r="P345" s="172"/>
      <c r="Q345" s="173"/>
      <c r="R345" s="171"/>
    </row>
    <row r="346">
      <c r="A346" s="165">
        <v>43451.0</v>
      </c>
      <c r="B346" s="166" t="s">
        <v>138</v>
      </c>
      <c r="C346" s="167" t="s">
        <v>139</v>
      </c>
      <c r="D346" s="168" t="s">
        <v>301</v>
      </c>
      <c r="E346" s="168"/>
      <c r="F346" s="169"/>
      <c r="G346" s="170">
        <v>-2.42</v>
      </c>
      <c r="H346" s="167" t="s">
        <v>799</v>
      </c>
      <c r="I346" s="171">
        <f t="shared" ref="I346:J346" si="351">IFS(AND($B346&lt;&gt;"",$E346&lt;&gt;""),IF(INDEX(N:N,MATCH($C346,$P:$P,0),1)&lt;&gt;"",$E346*INDEX(N:N,MATCH($C346,$P:$P,0),1)+$G346,""),AND($B346&lt;&gt;"",$D346="COST",$G346&lt;0),$G346,TRUE,)</f>
        <v>-2.42</v>
      </c>
      <c r="J346" s="171">
        <f t="shared" si="351"/>
        <v>-2.42</v>
      </c>
      <c r="K346" s="172" t="str">
        <f t="shared" si="3"/>
        <v>Vanguard S&amp;P 500 UCITS</v>
      </c>
      <c r="L346" s="173">
        <f t="shared" si="4"/>
        <v>3715</v>
      </c>
      <c r="M346" s="174">
        <f t="shared" si="5"/>
        <v>-151722.66</v>
      </c>
      <c r="N346" s="176" t="str">
        <f>IF($P346&lt;&gt;"",IF(MAXIFS(Investment!$M:$M,Investment!$H:$H,LEFT($P346,30)&amp;"*"),MAXIFS(Investment!$M:$M,Investment!$H:$H,LEFT($P346,30)&amp;"*"),),)</f>
        <v/>
      </c>
      <c r="O346" s="177" t="str">
        <f>IF($P346&lt;&gt;"",IF(MAXIFS(Investment!$AI:$AI,Investment!$H:$H,LEFT($P346,30)&amp;"*"),MAXIFS(Investment!$AI:$AI,Investment!$H:$H,LEFT($P346,30)&amp;"*"),),)</f>
        <v/>
      </c>
      <c r="P346" s="172"/>
      <c r="Q346" s="173"/>
      <c r="R346" s="171"/>
    </row>
    <row r="347">
      <c r="A347" s="165">
        <v>43451.0</v>
      </c>
      <c r="B347" s="166" t="s">
        <v>138</v>
      </c>
      <c r="C347" s="167" t="s">
        <v>139</v>
      </c>
      <c r="D347" s="168" t="s">
        <v>332</v>
      </c>
      <c r="E347" s="168">
        <v>60.0</v>
      </c>
      <c r="F347" s="169">
        <v>43.37</v>
      </c>
      <c r="G347" s="170">
        <v>-2602.2</v>
      </c>
      <c r="H347" s="167" t="s">
        <v>800</v>
      </c>
      <c r="I347" s="171">
        <f t="shared" ref="I347:J347" si="352">IFS(AND($B347&lt;&gt;"",$E347&lt;&gt;""),IF(INDEX(N:N,MATCH($C347,$P:$P,0),1)&lt;&gt;"",$E347*INDEX(N:N,MATCH($C347,$P:$P,0),1)+$G347,""),AND($B347&lt;&gt;"",$D347="COST",$G347&lt;0),$G347,TRUE,)</f>
        <v>594.9</v>
      </c>
      <c r="J347" s="171">
        <f t="shared" si="352"/>
        <v>286.0670588</v>
      </c>
      <c r="K347" s="172" t="str">
        <f t="shared" si="3"/>
        <v>Vanguard S&amp;P 500 UCITS</v>
      </c>
      <c r="L347" s="173">
        <f t="shared" si="4"/>
        <v>3715</v>
      </c>
      <c r="M347" s="174">
        <f t="shared" si="5"/>
        <v>-151722.66</v>
      </c>
      <c r="N347" s="176" t="str">
        <f>IF($P347&lt;&gt;"",IF(MAXIFS(Investment!$M:$M,Investment!$H:$H,LEFT($P347,30)&amp;"*"),MAXIFS(Investment!$M:$M,Investment!$H:$H,LEFT($P347,30)&amp;"*"),),)</f>
        <v/>
      </c>
      <c r="O347" s="177" t="str">
        <f>IF($P347&lt;&gt;"",IF(MAXIFS(Investment!$AI:$AI,Investment!$H:$H,LEFT($P347,30)&amp;"*"),MAXIFS(Investment!$AI:$AI,Investment!$H:$H,LEFT($P347,30)&amp;"*"),),)</f>
        <v/>
      </c>
      <c r="P347" s="172"/>
      <c r="Q347" s="173"/>
      <c r="R347" s="171"/>
    </row>
    <row r="348">
      <c r="A348" s="165">
        <v>43451.0</v>
      </c>
      <c r="B348" s="166" t="s">
        <v>138</v>
      </c>
      <c r="C348" s="167" t="s">
        <v>139</v>
      </c>
      <c r="D348" s="168" t="s">
        <v>301</v>
      </c>
      <c r="E348" s="168"/>
      <c r="F348" s="169"/>
      <c r="G348" s="170">
        <v>-2.52</v>
      </c>
      <c r="H348" s="167" t="s">
        <v>801</v>
      </c>
      <c r="I348" s="171">
        <f t="shared" ref="I348:J348" si="353">IFS(AND($B348&lt;&gt;"",$E348&lt;&gt;""),IF(INDEX(N:N,MATCH($C348,$P:$P,0),1)&lt;&gt;"",$E348*INDEX(N:N,MATCH($C348,$P:$P,0),1)+$G348,""),AND($B348&lt;&gt;"",$D348="COST",$G348&lt;0),$G348,TRUE,)</f>
        <v>-2.52</v>
      </c>
      <c r="J348" s="171">
        <f t="shared" si="353"/>
        <v>-2.52</v>
      </c>
      <c r="K348" s="172" t="str">
        <f t="shared" si="3"/>
        <v>Vanguard S&amp;P 500 UCITS</v>
      </c>
      <c r="L348" s="173">
        <f t="shared" si="4"/>
        <v>3715</v>
      </c>
      <c r="M348" s="174">
        <f t="shared" si="5"/>
        <v>-151722.66</v>
      </c>
      <c r="N348" s="176" t="str">
        <f>IF($P348&lt;&gt;"",IF(MAXIFS(Investment!$M:$M,Investment!$H:$H,LEFT($P348,30)&amp;"*"),MAXIFS(Investment!$M:$M,Investment!$H:$H,LEFT($P348,30)&amp;"*"),),)</f>
        <v/>
      </c>
      <c r="O348" s="177" t="str">
        <f>IF($P348&lt;&gt;"",IF(MAXIFS(Investment!$AI:$AI,Investment!$H:$H,LEFT($P348,30)&amp;"*"),MAXIFS(Investment!$AI:$AI,Investment!$H:$H,LEFT($P348,30)&amp;"*"),),)</f>
        <v/>
      </c>
      <c r="P348" s="172"/>
      <c r="Q348" s="173"/>
      <c r="R348" s="171"/>
    </row>
    <row r="349">
      <c r="A349" s="165">
        <v>43451.0</v>
      </c>
      <c r="B349" s="166" t="s">
        <v>138</v>
      </c>
      <c r="C349" s="167" t="s">
        <v>139</v>
      </c>
      <c r="D349" s="168" t="s">
        <v>332</v>
      </c>
      <c r="E349" s="168">
        <v>88.0</v>
      </c>
      <c r="F349" s="169">
        <v>43.7</v>
      </c>
      <c r="G349" s="170">
        <v>-3845.6</v>
      </c>
      <c r="H349" s="167" t="s">
        <v>802</v>
      </c>
      <c r="I349" s="171">
        <f t="shared" ref="I349:J349" si="354">IFS(AND($B349&lt;&gt;"",$E349&lt;&gt;""),IF(INDEX(N:N,MATCH($C349,$P:$P,0),1)&lt;&gt;"",$E349*INDEX(N:N,MATCH($C349,$P:$P,0),1)+$G349,""),AND($B349&lt;&gt;"",$D349="COST",$G349&lt;0),$G349,TRUE,)</f>
        <v>843.48</v>
      </c>
      <c r="J349" s="171">
        <f t="shared" si="354"/>
        <v>390.5250196</v>
      </c>
      <c r="K349" s="172" t="str">
        <f t="shared" si="3"/>
        <v>Vanguard S&amp;P 500 UCITS</v>
      </c>
      <c r="L349" s="173">
        <f t="shared" si="4"/>
        <v>3715</v>
      </c>
      <c r="M349" s="174">
        <f t="shared" si="5"/>
        <v>-151722.66</v>
      </c>
      <c r="N349" s="176" t="str">
        <f>IF($P349&lt;&gt;"",IF(MAXIFS(Investment!$M:$M,Investment!$H:$H,LEFT($P349,30)&amp;"*"),MAXIFS(Investment!$M:$M,Investment!$H:$H,LEFT($P349,30)&amp;"*"),),)</f>
        <v/>
      </c>
      <c r="O349" s="177" t="str">
        <f>IF($P349&lt;&gt;"",IF(MAXIFS(Investment!$AI:$AI,Investment!$H:$H,LEFT($P349,30)&amp;"*"),MAXIFS(Investment!$AI:$AI,Investment!$H:$H,LEFT($P349,30)&amp;"*"),),)</f>
        <v/>
      </c>
      <c r="P349" s="172"/>
      <c r="Q349" s="173"/>
      <c r="R349" s="171"/>
    </row>
    <row r="350">
      <c r="A350" s="165">
        <v>43451.0</v>
      </c>
      <c r="B350" s="166" t="s">
        <v>138</v>
      </c>
      <c r="C350" s="167" t="s">
        <v>139</v>
      </c>
      <c r="D350" s="168" t="s">
        <v>301</v>
      </c>
      <c r="E350" s="168"/>
      <c r="F350" s="169"/>
      <c r="G350" s="170">
        <v>-2.77</v>
      </c>
      <c r="H350" s="167" t="s">
        <v>803</v>
      </c>
      <c r="I350" s="171">
        <f t="shared" ref="I350:J350" si="355">IFS(AND($B350&lt;&gt;"",$E350&lt;&gt;""),IF(INDEX(N:N,MATCH($C350,$P:$P,0),1)&lt;&gt;"",$E350*INDEX(N:N,MATCH($C350,$P:$P,0),1)+$G350,""),AND($B350&lt;&gt;"",$D350="COST",$G350&lt;0),$G350,TRUE,)</f>
        <v>-2.77</v>
      </c>
      <c r="J350" s="171">
        <f t="shared" si="355"/>
        <v>-2.77</v>
      </c>
      <c r="K350" s="172" t="str">
        <f t="shared" si="3"/>
        <v>Vanguard S&amp;P 500 UCITS</v>
      </c>
      <c r="L350" s="173">
        <f t="shared" si="4"/>
        <v>3715</v>
      </c>
      <c r="M350" s="174">
        <f t="shared" si="5"/>
        <v>-151722.66</v>
      </c>
      <c r="N350" s="176" t="str">
        <f>IF($P350&lt;&gt;"",IF(MAXIFS(Investment!$M:$M,Investment!$H:$H,LEFT($P350,30)&amp;"*"),MAXIFS(Investment!$M:$M,Investment!$H:$H,LEFT($P350,30)&amp;"*"),),)</f>
        <v/>
      </c>
      <c r="O350" s="177" t="str">
        <f>IF($P350&lt;&gt;"",IF(MAXIFS(Investment!$AI:$AI,Investment!$H:$H,LEFT($P350,30)&amp;"*"),MAXIFS(Investment!$AI:$AI,Investment!$H:$H,LEFT($P350,30)&amp;"*"),),)</f>
        <v/>
      </c>
      <c r="P350" s="172"/>
      <c r="Q350" s="173"/>
      <c r="R350" s="171"/>
    </row>
    <row r="351">
      <c r="A351" s="165">
        <v>43448.0</v>
      </c>
      <c r="B351" s="166" t="s">
        <v>138</v>
      </c>
      <c r="C351" s="167" t="s">
        <v>139</v>
      </c>
      <c r="D351" s="168" t="s">
        <v>280</v>
      </c>
      <c r="E351" s="168">
        <v>-190.0</v>
      </c>
      <c r="F351" s="169">
        <v>44.39</v>
      </c>
      <c r="G351" s="170">
        <v>8434.1</v>
      </c>
      <c r="H351" s="167" t="s">
        <v>804</v>
      </c>
      <c r="I351" s="171">
        <f t="shared" ref="I351:J351" si="356">IFS(AND($B351&lt;&gt;"",$E351&lt;&gt;""),IF(INDEX(N:N,MATCH($C351,$P:$P,0),1)&lt;&gt;"",$E351*INDEX(N:N,MATCH($C351,$P:$P,0),1)+$G351,""),AND($B351&lt;&gt;"",$D351="COST",$G351&lt;0),$G351,TRUE,)</f>
        <v>-1690.05</v>
      </c>
      <c r="J351" s="171">
        <f t="shared" si="356"/>
        <v>-712.0790196</v>
      </c>
      <c r="K351" s="172" t="str">
        <f t="shared" si="3"/>
        <v>Vanguard S&amp;P 500 UCITS</v>
      </c>
      <c r="L351" s="173">
        <f t="shared" si="4"/>
        <v>3715</v>
      </c>
      <c r="M351" s="174">
        <f t="shared" si="5"/>
        <v>-151722.66</v>
      </c>
      <c r="N351" s="176" t="str">
        <f>IF($P351&lt;&gt;"",IF(MAXIFS(Investment!$M:$M,Investment!$H:$H,LEFT($P351,30)&amp;"*"),MAXIFS(Investment!$M:$M,Investment!$H:$H,LEFT($P351,30)&amp;"*"),),)</f>
        <v/>
      </c>
      <c r="O351" s="177" t="str">
        <f>IF($P351&lt;&gt;"",IF(MAXIFS(Investment!$AI:$AI,Investment!$H:$H,LEFT($P351,30)&amp;"*"),MAXIFS(Investment!$AI:$AI,Investment!$H:$H,LEFT($P351,30)&amp;"*"),),)</f>
        <v/>
      </c>
      <c r="P351" s="172"/>
      <c r="Q351" s="173"/>
      <c r="R351" s="171"/>
    </row>
    <row r="352">
      <c r="A352" s="165">
        <v>43448.0</v>
      </c>
      <c r="B352" s="166" t="s">
        <v>138</v>
      </c>
      <c r="C352" s="167" t="s">
        <v>139</v>
      </c>
      <c r="D352" s="168" t="s">
        <v>301</v>
      </c>
      <c r="E352" s="168"/>
      <c r="F352" s="169"/>
      <c r="G352" s="170">
        <v>-3.69</v>
      </c>
      <c r="H352" s="167" t="s">
        <v>805</v>
      </c>
      <c r="I352" s="171">
        <f t="shared" ref="I352:J352" si="357">IFS(AND($B352&lt;&gt;"",$E352&lt;&gt;""),IF(INDEX(N:N,MATCH($C352,$P:$P,0),1)&lt;&gt;"",$E352*INDEX(N:N,MATCH($C352,$P:$P,0),1)+$G352,""),AND($B352&lt;&gt;"",$D352="COST",$G352&lt;0),$G352,TRUE,)</f>
        <v>-3.69</v>
      </c>
      <c r="J352" s="171">
        <f t="shared" si="357"/>
        <v>-3.69</v>
      </c>
      <c r="K352" s="172" t="str">
        <f t="shared" si="3"/>
        <v>Vanguard S&amp;P 500 UCITS</v>
      </c>
      <c r="L352" s="173">
        <f t="shared" si="4"/>
        <v>3715</v>
      </c>
      <c r="M352" s="174">
        <f t="shared" si="5"/>
        <v>-151722.66</v>
      </c>
      <c r="N352" s="176" t="str">
        <f>IF($P352&lt;&gt;"",IF(MAXIFS(Investment!$M:$M,Investment!$H:$H,LEFT($P352,30)&amp;"*"),MAXIFS(Investment!$M:$M,Investment!$H:$H,LEFT($P352,30)&amp;"*"),),)</f>
        <v/>
      </c>
      <c r="O352" s="177" t="str">
        <f>IF($P352&lt;&gt;"",IF(MAXIFS(Investment!$AI:$AI,Investment!$H:$H,LEFT($P352,30)&amp;"*"),MAXIFS(Investment!$AI:$AI,Investment!$H:$H,LEFT($P352,30)&amp;"*"),),)</f>
        <v/>
      </c>
      <c r="P352" s="172"/>
      <c r="Q352" s="173"/>
      <c r="R352" s="171"/>
    </row>
    <row r="353">
      <c r="A353" s="165">
        <v>43441.0</v>
      </c>
      <c r="B353" s="166" t="s">
        <v>138</v>
      </c>
      <c r="C353" s="167" t="s">
        <v>139</v>
      </c>
      <c r="D353" s="168" t="s">
        <v>332</v>
      </c>
      <c r="E353" s="168">
        <v>91.0</v>
      </c>
      <c r="F353" s="169">
        <v>44.735</v>
      </c>
      <c r="G353" s="170">
        <v>-4070.88</v>
      </c>
      <c r="H353" s="167" t="s">
        <v>806</v>
      </c>
      <c r="I353" s="171">
        <f t="shared" ref="I353:J353" si="358">IFS(AND($B353&lt;&gt;"",$E353&lt;&gt;""),IF(INDEX(N:N,MATCH($C353,$P:$P,0),1)&lt;&gt;"",$E353*INDEX(N:N,MATCH($C353,$P:$P,0),1)+$G353,""),AND($B353&lt;&gt;"",$D353="COST",$G353&lt;0),$G353,TRUE,)</f>
        <v>778.055</v>
      </c>
      <c r="J353" s="171">
        <f t="shared" si="358"/>
        <v>309.6583725</v>
      </c>
      <c r="K353" s="172" t="str">
        <f t="shared" si="3"/>
        <v>Vanguard S&amp;P 500 UCITS</v>
      </c>
      <c r="L353" s="173">
        <f t="shared" si="4"/>
        <v>3715</v>
      </c>
      <c r="M353" s="174">
        <f t="shared" si="5"/>
        <v>-151722.66</v>
      </c>
      <c r="N353" s="176" t="str">
        <f>IF($P353&lt;&gt;"",IF(MAXIFS(Investment!$M:$M,Investment!$H:$H,LEFT($P353,30)&amp;"*"),MAXIFS(Investment!$M:$M,Investment!$H:$H,LEFT($P353,30)&amp;"*"),),)</f>
        <v/>
      </c>
      <c r="O353" s="177" t="str">
        <f>IF($P353&lt;&gt;"",IF(MAXIFS(Investment!$AI:$AI,Investment!$H:$H,LEFT($P353,30)&amp;"*"),MAXIFS(Investment!$AI:$AI,Investment!$H:$H,LEFT($P353,30)&amp;"*"),),)</f>
        <v/>
      </c>
      <c r="P353" s="172"/>
      <c r="Q353" s="173"/>
      <c r="R353" s="171"/>
    </row>
    <row r="354">
      <c r="A354" s="165">
        <v>43441.0</v>
      </c>
      <c r="B354" s="166" t="s">
        <v>118</v>
      </c>
      <c r="C354" s="167" t="s">
        <v>120</v>
      </c>
      <c r="D354" s="168" t="s">
        <v>332</v>
      </c>
      <c r="E354" s="168">
        <v>255.0</v>
      </c>
      <c r="F354" s="169">
        <v>7.357</v>
      </c>
      <c r="G354" s="170">
        <v>-1876.04</v>
      </c>
      <c r="H354" s="167" t="s">
        <v>807</v>
      </c>
      <c r="I354" s="171">
        <f t="shared" ref="I354:J354" si="359">IFS(AND($B354&lt;&gt;"",$E354&lt;&gt;""),IF(INDEX(N:N,MATCH($C354,$P:$P,0),1)&lt;&gt;"",$E354*INDEX(N:N,MATCH($C354,$P:$P,0),1)+$G354,""),AND($B354&lt;&gt;"",$D354="COST",$G354&lt;0),$G354,TRUE,)</f>
        <v>5.86</v>
      </c>
      <c r="J354" s="171">
        <f t="shared" si="359"/>
        <v>-28.054</v>
      </c>
      <c r="K354" s="172" t="str">
        <f t="shared" si="3"/>
        <v>ETFS All Commodities ETC</v>
      </c>
      <c r="L354" s="173">
        <f t="shared" si="4"/>
        <v>11745</v>
      </c>
      <c r="M354" s="174">
        <f t="shared" si="5"/>
        <v>-84366.02</v>
      </c>
      <c r="N354" s="176" t="str">
        <f>IF($P354&lt;&gt;"",IF(MAXIFS(Investment!$M:$M,Investment!$H:$H,LEFT($P354,30)&amp;"*"),MAXIFS(Investment!$M:$M,Investment!$H:$H,LEFT($P354,30)&amp;"*"),),)</f>
        <v/>
      </c>
      <c r="O354" s="177" t="str">
        <f>IF($P354&lt;&gt;"",IF(MAXIFS(Investment!$AI:$AI,Investment!$H:$H,LEFT($P354,30)&amp;"*"),MAXIFS(Investment!$AI:$AI,Investment!$H:$H,LEFT($P354,30)&amp;"*"),),)</f>
        <v/>
      </c>
      <c r="P354" s="172"/>
      <c r="Q354" s="173"/>
      <c r="R354" s="171"/>
    </row>
    <row r="355">
      <c r="A355" s="165">
        <v>43440.0</v>
      </c>
      <c r="B355" s="166" t="s">
        <v>134</v>
      </c>
      <c r="C355" s="55" t="s">
        <v>710</v>
      </c>
      <c r="D355" s="168" t="s">
        <v>301</v>
      </c>
      <c r="E355" s="168"/>
      <c r="F355" s="169"/>
      <c r="G355" s="170">
        <v>-2.31</v>
      </c>
      <c r="H355" s="167" t="s">
        <v>574</v>
      </c>
      <c r="I355" s="171">
        <f t="shared" ref="I355:J355" si="360">IFS(AND($B355&lt;&gt;"",$E355&lt;&gt;""),IF(INDEX(N:N,MATCH($C355,$P:$P,0),1)&lt;&gt;"",$E355*INDEX(N:N,MATCH($C355,$P:$P,0),1)+$G355,""),AND($B355&lt;&gt;"",$D355="COST",$G355&lt;0),$G355,TRUE,)</f>
        <v>-2.31</v>
      </c>
      <c r="J355" s="171">
        <f t="shared" si="360"/>
        <v>-2.31</v>
      </c>
      <c r="K355" s="172" t="str">
        <f t="shared" si="3"/>
        <v>iShares Treasury Bond 20+ UCITS USD Dist</v>
      </c>
      <c r="L355" s="173">
        <f t="shared" si="4"/>
        <v>0</v>
      </c>
      <c r="M355" s="174">
        <f t="shared" si="5"/>
        <v>27424.27</v>
      </c>
      <c r="N355" s="176" t="str">
        <f>IF($P355&lt;&gt;"",IF(MAXIFS(Investment!$M:$M,Investment!$H:$H,LEFT($P355,30)&amp;"*"),MAXIFS(Investment!$M:$M,Investment!$H:$H,LEFT($P355,30)&amp;"*"),),)</f>
        <v/>
      </c>
      <c r="O355" s="177" t="str">
        <f>IF($P355&lt;&gt;"",IF(MAXIFS(Investment!$AI:$AI,Investment!$H:$H,LEFT($P355,30)&amp;"*"),MAXIFS(Investment!$AI:$AI,Investment!$H:$H,LEFT($P355,30)&amp;"*"),),)</f>
        <v/>
      </c>
      <c r="P355" s="172"/>
      <c r="Q355" s="173"/>
      <c r="R355" s="171"/>
    </row>
    <row r="356">
      <c r="A356" s="165">
        <v>43440.0</v>
      </c>
      <c r="B356" s="166" t="s">
        <v>134</v>
      </c>
      <c r="C356" s="55" t="s">
        <v>710</v>
      </c>
      <c r="D356" s="168" t="s">
        <v>280</v>
      </c>
      <c r="E356" s="168">
        <v>-392.0</v>
      </c>
      <c r="F356" s="169">
        <v>3.935</v>
      </c>
      <c r="G356" s="170">
        <v>1542.58</v>
      </c>
      <c r="H356" s="167" t="s">
        <v>808</v>
      </c>
      <c r="I356" s="171">
        <f t="shared" ref="I356:J356" si="361">IFS(AND($B356&lt;&gt;"",$E356&lt;&gt;""),IF(INDEX(N:N,MATCH($C356,$P:$P,0),1)&lt;&gt;"",$E356*INDEX(N:N,MATCH($C356,$P:$P,0),1)+$G356,""),AND($B356&lt;&gt;"",$D356="COST",$G356&lt;0),$G356,TRUE,)</f>
        <v>-266.892</v>
      </c>
      <c r="J356" s="171">
        <f t="shared" si="361"/>
        <v>-149.8565569</v>
      </c>
      <c r="K356" s="172" t="str">
        <f t="shared" si="3"/>
        <v>iShares Treasury Bond 20+ UCITS USD Dist</v>
      </c>
      <c r="L356" s="173">
        <f t="shared" si="4"/>
        <v>0</v>
      </c>
      <c r="M356" s="174">
        <f t="shared" si="5"/>
        <v>27424.27</v>
      </c>
      <c r="N356" s="176" t="str">
        <f>IF($P356&lt;&gt;"",IF(MAXIFS(Investment!$M:$M,Investment!$H:$H,LEFT($P356,30)&amp;"*"),MAXIFS(Investment!$M:$M,Investment!$H:$H,LEFT($P356,30)&amp;"*"),),)</f>
        <v/>
      </c>
      <c r="O356" s="177" t="str">
        <f>IF($P356&lt;&gt;"",IF(MAXIFS(Investment!$AI:$AI,Investment!$H:$H,LEFT($P356,30)&amp;"*"),MAXIFS(Investment!$AI:$AI,Investment!$H:$H,LEFT($P356,30)&amp;"*"),),)</f>
        <v/>
      </c>
      <c r="P356" s="172"/>
      <c r="Q356" s="173"/>
      <c r="R356" s="171"/>
    </row>
    <row r="357">
      <c r="A357" s="165">
        <v>43440.0</v>
      </c>
      <c r="B357" s="166" t="s">
        <v>138</v>
      </c>
      <c r="C357" s="167" t="s">
        <v>139</v>
      </c>
      <c r="D357" s="168" t="s">
        <v>332</v>
      </c>
      <c r="E357" s="168">
        <v>236.0</v>
      </c>
      <c r="F357" s="169">
        <v>44.578</v>
      </c>
      <c r="G357" s="170">
        <v>-10520.4</v>
      </c>
      <c r="H357" s="167" t="s">
        <v>809</v>
      </c>
      <c r="I357" s="171">
        <f t="shared" ref="I357:J357" si="362">IFS(AND($B357&lt;&gt;"",$E357&lt;&gt;""),IF(INDEX(N:N,MATCH($C357,$P:$P,0),1)&lt;&gt;"",$E357*INDEX(N:N,MATCH($C357,$P:$P,0),1)+$G357,""),AND($B357&lt;&gt;"",$D357="COST",$G357&lt;0),$G357,TRUE,)</f>
        <v>2054.86</v>
      </c>
      <c r="J357" s="171">
        <f t="shared" si="362"/>
        <v>840.117098</v>
      </c>
      <c r="K357" s="172" t="str">
        <f t="shared" si="3"/>
        <v>Vanguard S&amp;P 500 UCITS</v>
      </c>
      <c r="L357" s="173">
        <f t="shared" si="4"/>
        <v>3715</v>
      </c>
      <c r="M357" s="174">
        <f t="shared" si="5"/>
        <v>-151722.66</v>
      </c>
      <c r="N357" s="176" t="str">
        <f>IF($P357&lt;&gt;"",IF(MAXIFS(Investment!$M:$M,Investment!$H:$H,LEFT($P357,30)&amp;"*"),MAXIFS(Investment!$M:$M,Investment!$H:$H,LEFT($P357,30)&amp;"*"),),)</f>
        <v/>
      </c>
      <c r="O357" s="177" t="str">
        <f>IF($P357&lt;&gt;"",IF(MAXIFS(Investment!$AI:$AI,Investment!$H:$H,LEFT($P357,30)&amp;"*"),MAXIFS(Investment!$AI:$AI,Investment!$H:$H,LEFT($P357,30)&amp;"*"),),)</f>
        <v/>
      </c>
      <c r="P357" s="172"/>
      <c r="Q357" s="173"/>
      <c r="R357" s="171"/>
    </row>
    <row r="358">
      <c r="A358" s="165">
        <v>43438.0</v>
      </c>
      <c r="B358" s="166"/>
      <c r="C358" s="167"/>
      <c r="D358" s="168" t="s">
        <v>299</v>
      </c>
      <c r="E358" s="168"/>
      <c r="F358" s="169"/>
      <c r="G358" s="170">
        <v>-1500.0</v>
      </c>
      <c r="H358" s="167" t="s">
        <v>772</v>
      </c>
      <c r="I358" s="171" t="str">
        <f t="shared" ref="I358:J358" si="363">IFS(AND($B358&lt;&gt;"",$E358&lt;&gt;""),IF(INDEX(N:N,MATCH($C358,$P:$P,0),1)&lt;&gt;"",$E358*INDEX(N:N,MATCH($C358,$P:$P,0),1)+$G358,""),AND($B358&lt;&gt;"",$D358="COST",$G358&lt;0),$G358,TRUE,)</f>
        <v/>
      </c>
      <c r="J358" s="171" t="str">
        <f t="shared" si="363"/>
        <v/>
      </c>
      <c r="K358" s="172" t="str">
        <f t="shared" si="3"/>
        <v/>
      </c>
      <c r="L358" s="173" t="str">
        <f t="shared" si="4"/>
        <v/>
      </c>
      <c r="M358" s="174" t="str">
        <f t="shared" si="5"/>
        <v/>
      </c>
      <c r="N358" s="176" t="str">
        <f>IF($P358&lt;&gt;"",IF(MAXIFS(Investment!$M:$M,Investment!$H:$H,LEFT($P358,30)&amp;"*"),MAXIFS(Investment!$M:$M,Investment!$H:$H,LEFT($P358,30)&amp;"*"),),)</f>
        <v/>
      </c>
      <c r="O358" s="177" t="str">
        <f>IF($P358&lt;&gt;"",IF(MAXIFS(Investment!$AI:$AI,Investment!$H:$H,LEFT($P358,30)&amp;"*"),MAXIFS(Investment!$AI:$AI,Investment!$H:$H,LEFT($P358,30)&amp;"*"),),)</f>
        <v/>
      </c>
      <c r="P358" s="172"/>
      <c r="Q358" s="173"/>
      <c r="R358" s="171"/>
    </row>
    <row r="359">
      <c r="A359" s="165">
        <v>43434.0</v>
      </c>
      <c r="B359" s="166"/>
      <c r="C359" s="167"/>
      <c r="D359" s="168" t="s">
        <v>301</v>
      </c>
      <c r="E359" s="168"/>
      <c r="F359" s="169"/>
      <c r="G359" s="170">
        <v>-579.07</v>
      </c>
      <c r="H359" s="167" t="s">
        <v>810</v>
      </c>
      <c r="I359" s="171" t="str">
        <f t="shared" ref="I359:J359" si="364">IFS(AND($B359&lt;&gt;"",$E359&lt;&gt;""),IF(INDEX(N:N,MATCH($C359,$P:$P,0),1)&lt;&gt;"",$E359*INDEX(N:N,MATCH($C359,$P:$P,0),1)+$G359,""),AND($B359&lt;&gt;"",$D359="COST",$G359&lt;0),$G359,TRUE,)</f>
        <v/>
      </c>
      <c r="J359" s="171" t="str">
        <f t="shared" si="364"/>
        <v/>
      </c>
      <c r="K359" s="172" t="str">
        <f t="shared" si="3"/>
        <v/>
      </c>
      <c r="L359" s="173" t="str">
        <f t="shared" si="4"/>
        <v/>
      </c>
      <c r="M359" s="174" t="str">
        <f t="shared" si="5"/>
        <v/>
      </c>
      <c r="N359" s="176" t="str">
        <f>IF($P359&lt;&gt;"",IF(MAXIFS(Investment!$M:$M,Investment!$H:$H,LEFT($P359,30)&amp;"*"),MAXIFS(Investment!$M:$M,Investment!$H:$H,LEFT($P359,30)&amp;"*"),),)</f>
        <v/>
      </c>
      <c r="O359" s="177" t="str">
        <f>IF($P359&lt;&gt;"",IF(MAXIFS(Investment!$AI:$AI,Investment!$H:$H,LEFT($P359,30)&amp;"*"),MAXIFS(Investment!$AI:$AI,Investment!$H:$H,LEFT($P359,30)&amp;"*"),),)</f>
        <v/>
      </c>
      <c r="P359" s="172"/>
      <c r="Q359" s="173"/>
      <c r="R359" s="171"/>
    </row>
    <row r="360">
      <c r="A360" s="165">
        <v>43433.0</v>
      </c>
      <c r="B360" s="166" t="s">
        <v>127</v>
      </c>
      <c r="C360" s="167" t="s">
        <v>128</v>
      </c>
      <c r="D360" s="168" t="s">
        <v>307</v>
      </c>
      <c r="E360" s="168"/>
      <c r="F360" s="169"/>
      <c r="G360" s="170">
        <v>-204.87</v>
      </c>
      <c r="H360" s="167" t="s">
        <v>811</v>
      </c>
      <c r="I360" s="171" t="str">
        <f t="shared" ref="I360:J360" si="365">IFS(AND($B360&lt;&gt;"",$E360&lt;&gt;""),IF(INDEX(N:N,MATCH($C360,$P:$P,0),1)&lt;&gt;"",$E360*INDEX(N:N,MATCH($C360,$P:$P,0),1)+$G360,""),AND($B360&lt;&gt;"",$D360="COST",$G360&lt;0),$G360,TRUE,)</f>
        <v/>
      </c>
      <c r="J360" s="171" t="str">
        <f t="shared" si="365"/>
        <v/>
      </c>
      <c r="K360" s="172" t="str">
        <f t="shared" si="3"/>
        <v>iShares Treasury Bond 7-10 UCITS</v>
      </c>
      <c r="L360" s="173">
        <f t="shared" si="4"/>
        <v>547</v>
      </c>
      <c r="M360" s="174">
        <f t="shared" si="5"/>
        <v>-81771.76</v>
      </c>
      <c r="N360" s="176" t="str">
        <f>IF($P360&lt;&gt;"",IF(MAXIFS(Investment!$M:$M,Investment!$H:$H,LEFT($P360,30)&amp;"*"),MAXIFS(Investment!$M:$M,Investment!$H:$H,LEFT($P360,30)&amp;"*"),),)</f>
        <v/>
      </c>
      <c r="O360" s="177" t="str">
        <f>IF($P360&lt;&gt;"",IF(MAXIFS(Investment!$AI:$AI,Investment!$H:$H,LEFT($P360,30)&amp;"*"),MAXIFS(Investment!$AI:$AI,Investment!$H:$H,LEFT($P360,30)&amp;"*"),),)</f>
        <v/>
      </c>
      <c r="P360" s="172"/>
      <c r="Q360" s="173"/>
      <c r="R360" s="171"/>
    </row>
    <row r="361">
      <c r="A361" s="165">
        <v>43433.0</v>
      </c>
      <c r="B361" s="166" t="s">
        <v>138</v>
      </c>
      <c r="C361" s="167" t="s">
        <v>139</v>
      </c>
      <c r="D361" s="168" t="s">
        <v>280</v>
      </c>
      <c r="E361" s="168">
        <v>-25.0</v>
      </c>
      <c r="F361" s="169">
        <v>45.7</v>
      </c>
      <c r="G361" s="170">
        <v>1142.5</v>
      </c>
      <c r="H361" s="167" t="s">
        <v>812</v>
      </c>
      <c r="I361" s="171">
        <f t="shared" ref="I361:J361" si="366">IFS(AND($B361&lt;&gt;"",$E361&lt;&gt;""),IF(INDEX(N:N,MATCH($C361,$P:$P,0),1)&lt;&gt;"",$E361*INDEX(N:N,MATCH($C361,$P:$P,0),1)+$G361,""),AND($B361&lt;&gt;"",$D361="COST",$G361&lt;0),$G361,TRUE,)</f>
        <v>-189.625</v>
      </c>
      <c r="J361" s="171">
        <f t="shared" si="366"/>
        <v>-60.94460784</v>
      </c>
      <c r="K361" s="172" t="str">
        <f t="shared" si="3"/>
        <v>Vanguard S&amp;P 500 UCITS</v>
      </c>
      <c r="L361" s="173">
        <f t="shared" si="4"/>
        <v>3715</v>
      </c>
      <c r="M361" s="174">
        <f t="shared" si="5"/>
        <v>-151722.66</v>
      </c>
      <c r="N361" s="176" t="str">
        <f>IF($P361&lt;&gt;"",IF(MAXIFS(Investment!$M:$M,Investment!$H:$H,LEFT($P361,30)&amp;"*"),MAXIFS(Investment!$M:$M,Investment!$H:$H,LEFT($P361,30)&amp;"*"),),)</f>
        <v/>
      </c>
      <c r="O361" s="177" t="str">
        <f>IF($P361&lt;&gt;"",IF(MAXIFS(Investment!$AI:$AI,Investment!$H:$H,LEFT($P361,30)&amp;"*"),MAXIFS(Investment!$AI:$AI,Investment!$H:$H,LEFT($P361,30)&amp;"*"),),)</f>
        <v/>
      </c>
      <c r="P361" s="172"/>
      <c r="Q361" s="173"/>
      <c r="R361" s="171"/>
    </row>
    <row r="362">
      <c r="A362" s="165">
        <v>43433.0</v>
      </c>
      <c r="B362" s="166" t="s">
        <v>138</v>
      </c>
      <c r="C362" s="167" t="s">
        <v>139</v>
      </c>
      <c r="D362" s="168" t="s">
        <v>301</v>
      </c>
      <c r="E362" s="168"/>
      <c r="F362" s="169"/>
      <c r="G362" s="170">
        <v>-2.23</v>
      </c>
      <c r="H362" s="167" t="s">
        <v>813</v>
      </c>
      <c r="I362" s="171">
        <f t="shared" ref="I362:J362" si="367">IFS(AND($B362&lt;&gt;"",$E362&lt;&gt;""),IF(INDEX(N:N,MATCH($C362,$P:$P,0),1)&lt;&gt;"",$E362*INDEX(N:N,MATCH($C362,$P:$P,0),1)+$G362,""),AND($B362&lt;&gt;"",$D362="COST",$G362&lt;0),$G362,TRUE,)</f>
        <v>-2.23</v>
      </c>
      <c r="J362" s="171">
        <f t="shared" si="367"/>
        <v>-2.23</v>
      </c>
      <c r="K362" s="172" t="str">
        <f t="shared" si="3"/>
        <v>Vanguard S&amp;P 500 UCITS</v>
      </c>
      <c r="L362" s="173">
        <f t="shared" si="4"/>
        <v>3715</v>
      </c>
      <c r="M362" s="174">
        <f t="shared" si="5"/>
        <v>-151722.66</v>
      </c>
      <c r="N362" s="176" t="str">
        <f>IF($P362&lt;&gt;"",IF(MAXIFS(Investment!$M:$M,Investment!$H:$H,LEFT($P362,30)&amp;"*"),MAXIFS(Investment!$M:$M,Investment!$H:$H,LEFT($P362,30)&amp;"*"),),)</f>
        <v/>
      </c>
      <c r="O362" s="177" t="str">
        <f>IF($P362&lt;&gt;"",IF(MAXIFS(Investment!$AI:$AI,Investment!$H:$H,LEFT($P362,30)&amp;"*"),MAXIFS(Investment!$AI:$AI,Investment!$H:$H,LEFT($P362,30)&amp;"*"),),)</f>
        <v/>
      </c>
      <c r="P362" s="172"/>
      <c r="Q362" s="173"/>
      <c r="R362" s="171"/>
    </row>
    <row r="363">
      <c r="A363" s="165">
        <v>43432.0</v>
      </c>
      <c r="B363" s="166" t="s">
        <v>127</v>
      </c>
      <c r="C363" s="167" t="s">
        <v>128</v>
      </c>
      <c r="D363" s="168" t="s">
        <v>307</v>
      </c>
      <c r="E363" s="168"/>
      <c r="F363" s="169"/>
      <c r="G363" s="170">
        <v>1663.14</v>
      </c>
      <c r="H363" s="167" t="s">
        <v>814</v>
      </c>
      <c r="I363" s="171" t="str">
        <f t="shared" ref="I363:J363" si="368">IFS(AND($B363&lt;&gt;"",$E363&lt;&gt;""),IF(INDEX(N:N,MATCH($C363,$P:$P,0),1)&lt;&gt;"",$E363*INDEX(N:N,MATCH($C363,$P:$P,0),1)+$G363,""),AND($B363&lt;&gt;"",$D363="COST",$G363&lt;0),$G363,TRUE,)</f>
        <v/>
      </c>
      <c r="J363" s="171" t="str">
        <f t="shared" si="368"/>
        <v/>
      </c>
      <c r="K363" s="172" t="str">
        <f t="shared" si="3"/>
        <v>iShares Treasury Bond 7-10 UCITS</v>
      </c>
      <c r="L363" s="173">
        <f t="shared" si="4"/>
        <v>547</v>
      </c>
      <c r="M363" s="174">
        <f t="shared" si="5"/>
        <v>-81771.76</v>
      </c>
      <c r="N363" s="176" t="str">
        <f>IF($P363&lt;&gt;"",IF(MAXIFS(Investment!$M:$M,Investment!$H:$H,LEFT($P363,30)&amp;"*"),MAXIFS(Investment!$M:$M,Investment!$H:$H,LEFT($P363,30)&amp;"*"),),)</f>
        <v/>
      </c>
      <c r="O363" s="177" t="str">
        <f>IF($P363&lt;&gt;"",IF(MAXIFS(Investment!$AI:$AI,Investment!$H:$H,LEFT($P363,30)&amp;"*"),MAXIFS(Investment!$AI:$AI,Investment!$H:$H,LEFT($P363,30)&amp;"*"),),)</f>
        <v/>
      </c>
      <c r="P363" s="172"/>
      <c r="Q363" s="173"/>
      <c r="R363" s="171"/>
    </row>
    <row r="364">
      <c r="A364" s="165">
        <v>43430.0</v>
      </c>
      <c r="B364" s="166" t="s">
        <v>118</v>
      </c>
      <c r="C364" s="167" t="s">
        <v>120</v>
      </c>
      <c r="D364" s="168" t="s">
        <v>332</v>
      </c>
      <c r="E364" s="168">
        <v>214.0</v>
      </c>
      <c r="F364" s="169">
        <v>7.25</v>
      </c>
      <c r="G364" s="170">
        <v>-1551.5</v>
      </c>
      <c r="H364" s="167" t="s">
        <v>815</v>
      </c>
      <c r="I364" s="171">
        <f t="shared" ref="I364:J364" si="369">IFS(AND($B364&lt;&gt;"",$E364&lt;&gt;""),IF(INDEX(N:N,MATCH($C364,$P:$P,0),1)&lt;&gt;"",$E364*INDEX(N:N,MATCH($C364,$P:$P,0),1)+$G364,""),AND($B364&lt;&gt;"",$D364="COST",$G364&lt;0),$G364,TRUE,)</f>
        <v>27.82</v>
      </c>
      <c r="J364" s="171">
        <f t="shared" si="369"/>
        <v>-0.6411607843</v>
      </c>
      <c r="K364" s="172" t="str">
        <f t="shared" si="3"/>
        <v>ETFS All Commodities ETC</v>
      </c>
      <c r="L364" s="173">
        <f t="shared" si="4"/>
        <v>11745</v>
      </c>
      <c r="M364" s="174">
        <f t="shared" si="5"/>
        <v>-84366.02</v>
      </c>
      <c r="N364" s="176" t="str">
        <f>IF($P364&lt;&gt;"",IF(MAXIFS(Investment!$M:$M,Investment!$H:$H,LEFT($P364,30)&amp;"*"),MAXIFS(Investment!$M:$M,Investment!$H:$H,LEFT($P364,30)&amp;"*"),),)</f>
        <v/>
      </c>
      <c r="O364" s="177" t="str">
        <f>IF($P364&lt;&gt;"",IF(MAXIFS(Investment!$AI:$AI,Investment!$H:$H,LEFT($P364,30)&amp;"*"),MAXIFS(Investment!$AI:$AI,Investment!$H:$H,LEFT($P364,30)&amp;"*"),),)</f>
        <v/>
      </c>
      <c r="P364" s="172"/>
      <c r="Q364" s="173"/>
      <c r="R364" s="171"/>
    </row>
    <row r="365">
      <c r="A365" s="165">
        <v>43430.0</v>
      </c>
      <c r="B365" s="166" t="s">
        <v>134</v>
      </c>
      <c r="C365" s="55" t="s">
        <v>710</v>
      </c>
      <c r="D365" s="168" t="s">
        <v>301</v>
      </c>
      <c r="E365" s="168"/>
      <c r="F365" s="169"/>
      <c r="G365" s="170">
        <v>-2.23</v>
      </c>
      <c r="H365" s="167" t="s">
        <v>672</v>
      </c>
      <c r="I365" s="171">
        <f t="shared" ref="I365:J365" si="370">IFS(AND($B365&lt;&gt;"",$E365&lt;&gt;""),IF(INDEX(N:N,MATCH($C365,$P:$P,0),1)&lt;&gt;"",$E365*INDEX(N:N,MATCH($C365,$P:$P,0),1)+$G365,""),AND($B365&lt;&gt;"",$D365="COST",$G365&lt;0),$G365,TRUE,)</f>
        <v>-2.23</v>
      </c>
      <c r="J365" s="171">
        <f t="shared" si="370"/>
        <v>-2.23</v>
      </c>
      <c r="K365" s="172" t="str">
        <f t="shared" si="3"/>
        <v>iShares Treasury Bond 20+ UCITS USD Dist</v>
      </c>
      <c r="L365" s="173">
        <f t="shared" si="4"/>
        <v>0</v>
      </c>
      <c r="M365" s="174">
        <f t="shared" si="5"/>
        <v>27424.27</v>
      </c>
      <c r="N365" s="176" t="str">
        <f>IF($P365&lt;&gt;"",IF(MAXIFS(Investment!$M:$M,Investment!$H:$H,LEFT($P365,30)&amp;"*"),MAXIFS(Investment!$M:$M,Investment!$H:$H,LEFT($P365,30)&amp;"*"),),)</f>
        <v/>
      </c>
      <c r="O365" s="177" t="str">
        <f>IF($P365&lt;&gt;"",IF(MAXIFS(Investment!$AI:$AI,Investment!$H:$H,LEFT($P365,30)&amp;"*"),MAXIFS(Investment!$AI:$AI,Investment!$H:$H,LEFT($P365,30)&amp;"*"),),)</f>
        <v/>
      </c>
      <c r="P365" s="172"/>
      <c r="Q365" s="173"/>
      <c r="R365" s="171"/>
    </row>
    <row r="366">
      <c r="A366" s="165">
        <v>43430.0</v>
      </c>
      <c r="B366" s="166" t="s">
        <v>134</v>
      </c>
      <c r="C366" s="55" t="s">
        <v>710</v>
      </c>
      <c r="D366" s="168" t="s">
        <v>280</v>
      </c>
      <c r="E366" s="168">
        <v>-300.0</v>
      </c>
      <c r="F366" s="169">
        <v>3.819</v>
      </c>
      <c r="G366" s="170">
        <v>1145.66</v>
      </c>
      <c r="H366" s="167" t="s">
        <v>816</v>
      </c>
      <c r="I366" s="171">
        <f t="shared" ref="I366:J366" si="371">IFS(AND($B366&lt;&gt;"",$E366&lt;&gt;""),IF(INDEX(N:N,MATCH($C366,$P:$P,0),1)&lt;&gt;"",$E366*INDEX(N:N,MATCH($C366,$P:$P,0),1)+$G366,""),AND($B366&lt;&gt;"",$D366="COST",$G366&lt;0),$G366,TRUE,)</f>
        <v>-239.14</v>
      </c>
      <c r="J366" s="171">
        <f t="shared" si="371"/>
        <v>-149.5720588</v>
      </c>
      <c r="K366" s="172" t="str">
        <f t="shared" si="3"/>
        <v>iShares Treasury Bond 20+ UCITS USD Dist</v>
      </c>
      <c r="L366" s="173">
        <f t="shared" si="4"/>
        <v>0</v>
      </c>
      <c r="M366" s="174">
        <f t="shared" si="5"/>
        <v>27424.27</v>
      </c>
      <c r="N366" s="176" t="str">
        <f>IF($P366&lt;&gt;"",IF(MAXIFS(Investment!$M:$M,Investment!$H:$H,LEFT($P366,30)&amp;"*"),MAXIFS(Investment!$M:$M,Investment!$H:$H,LEFT($P366,30)&amp;"*"),),)</f>
        <v/>
      </c>
      <c r="O366" s="177" t="str">
        <f>IF($P366&lt;&gt;"",IF(MAXIFS(Investment!$AI:$AI,Investment!$H:$H,LEFT($P366,30)&amp;"*"),MAXIFS(Investment!$AI:$AI,Investment!$H:$H,LEFT($P366,30)&amp;"*"),),)</f>
        <v/>
      </c>
      <c r="P366" s="172"/>
      <c r="Q366" s="173"/>
      <c r="R366" s="171"/>
    </row>
    <row r="367">
      <c r="A367" s="165">
        <v>43426.0</v>
      </c>
      <c r="B367" s="166" t="s">
        <v>134</v>
      </c>
      <c r="C367" s="167" t="s">
        <v>710</v>
      </c>
      <c r="D367" s="168" t="s">
        <v>301</v>
      </c>
      <c r="E367" s="168"/>
      <c r="F367" s="169"/>
      <c r="G367" s="170">
        <v>-0.01</v>
      </c>
      <c r="H367" s="167" t="s">
        <v>817</v>
      </c>
      <c r="I367" s="171">
        <f t="shared" ref="I367:J367" si="372">IFS(AND($B367&lt;&gt;"",$E367&lt;&gt;""),IF(INDEX(N:N,MATCH($C367,$P:$P,0),1)&lt;&gt;"",$E367*INDEX(N:N,MATCH($C367,$P:$P,0),1)+$G367,""),AND($B367&lt;&gt;"",$D367="COST",$G367&lt;0),$G367,TRUE,)</f>
        <v>-0.01</v>
      </c>
      <c r="J367" s="171">
        <f t="shared" si="372"/>
        <v>-0.01</v>
      </c>
      <c r="K367" s="172" t="str">
        <f t="shared" si="3"/>
        <v>iShares Treasury Bond 20+ UCITS USD Dist</v>
      </c>
      <c r="L367" s="173">
        <f t="shared" si="4"/>
        <v>0</v>
      </c>
      <c r="M367" s="174">
        <f t="shared" si="5"/>
        <v>27424.27</v>
      </c>
      <c r="N367" s="176" t="str">
        <f>IF($P367&lt;&gt;"",IF(MAXIFS(Investment!$M:$M,Investment!$H:$H,LEFT($P367,30)&amp;"*"),MAXIFS(Investment!$M:$M,Investment!$H:$H,LEFT($P367,30)&amp;"*"),),)</f>
        <v/>
      </c>
      <c r="O367" s="177" t="str">
        <f>IF($P367&lt;&gt;"",IF(MAXIFS(Investment!$AI:$AI,Investment!$H:$H,LEFT($P367,30)&amp;"*"),MAXIFS(Investment!$AI:$AI,Investment!$H:$H,LEFT($P367,30)&amp;"*"),),)</f>
        <v/>
      </c>
      <c r="P367" s="172"/>
      <c r="Q367" s="173"/>
      <c r="R367" s="171"/>
    </row>
    <row r="368">
      <c r="A368" s="165">
        <v>43426.0</v>
      </c>
      <c r="B368" s="166" t="s">
        <v>134</v>
      </c>
      <c r="C368" s="55" t="s">
        <v>710</v>
      </c>
      <c r="D368" s="168" t="s">
        <v>301</v>
      </c>
      <c r="E368" s="168"/>
      <c r="F368" s="169"/>
      <c r="G368" s="170">
        <v>-3.37</v>
      </c>
      <c r="H368" s="167" t="s">
        <v>818</v>
      </c>
      <c r="I368" s="171">
        <f t="shared" ref="I368:J368" si="373">IFS(AND($B368&lt;&gt;"",$E368&lt;&gt;""),IF(INDEX(N:N,MATCH($C368,$P:$P,0),1)&lt;&gt;"",$E368*INDEX(N:N,MATCH($C368,$P:$P,0),1)+$G368,""),AND($B368&lt;&gt;"",$D368="COST",$G368&lt;0),$G368,TRUE,)</f>
        <v>-3.37</v>
      </c>
      <c r="J368" s="171">
        <f t="shared" si="373"/>
        <v>-3.37</v>
      </c>
      <c r="K368" s="172" t="str">
        <f t="shared" si="3"/>
        <v>iShares Treasury Bond 20+ UCITS USD Dist</v>
      </c>
      <c r="L368" s="173">
        <f t="shared" si="4"/>
        <v>0</v>
      </c>
      <c r="M368" s="174">
        <f t="shared" si="5"/>
        <v>27424.27</v>
      </c>
      <c r="N368" s="176" t="str">
        <f>IF($P368&lt;&gt;"",IF(MAXIFS(Investment!$M:$M,Investment!$H:$H,LEFT($P368,30)&amp;"*"),MAXIFS(Investment!$M:$M,Investment!$H:$H,LEFT($P368,30)&amp;"*"),),)</f>
        <v/>
      </c>
      <c r="O368" s="177" t="str">
        <f>IF($P368&lt;&gt;"",IF(MAXIFS(Investment!$AI:$AI,Investment!$H:$H,LEFT($P368,30)&amp;"*"),MAXIFS(Investment!$AI:$AI,Investment!$H:$H,LEFT($P368,30)&amp;"*"),),)</f>
        <v/>
      </c>
      <c r="P368" s="172"/>
      <c r="Q368" s="173"/>
      <c r="R368" s="171"/>
    </row>
    <row r="369">
      <c r="A369" s="165">
        <v>43426.0</v>
      </c>
      <c r="B369" s="166" t="s">
        <v>134</v>
      </c>
      <c r="C369" s="55" t="s">
        <v>710</v>
      </c>
      <c r="D369" s="168" t="s">
        <v>280</v>
      </c>
      <c r="E369" s="168">
        <v>-1798.0</v>
      </c>
      <c r="F369" s="169">
        <v>3.797</v>
      </c>
      <c r="G369" s="170">
        <v>6827.2</v>
      </c>
      <c r="H369" s="167" t="s">
        <v>819</v>
      </c>
      <c r="I369" s="171">
        <f t="shared" ref="I369:J369" si="374">IFS(AND($B369&lt;&gt;"",$E369&lt;&gt;""),IF(INDEX(N:N,MATCH($C369,$P:$P,0),1)&lt;&gt;"",$E369*INDEX(N:N,MATCH($C369,$P:$P,0),1)+$G369,""),AND($B369&lt;&gt;"",$D369="COST",$G369&lt;0),$G369,TRUE,)</f>
        <v>-1472.368</v>
      </c>
      <c r="J369" s="171">
        <f t="shared" si="374"/>
        <v>-935.5574725</v>
      </c>
      <c r="K369" s="172" t="str">
        <f t="shared" si="3"/>
        <v>iShares Treasury Bond 20+ UCITS USD Dist</v>
      </c>
      <c r="L369" s="173">
        <f t="shared" si="4"/>
        <v>0</v>
      </c>
      <c r="M369" s="174">
        <f t="shared" si="5"/>
        <v>27424.27</v>
      </c>
      <c r="N369" s="176" t="str">
        <f>IF($P369&lt;&gt;"",IF(MAXIFS(Investment!$M:$M,Investment!$H:$H,LEFT($P369,30)&amp;"*"),MAXIFS(Investment!$M:$M,Investment!$H:$H,LEFT($P369,30)&amp;"*"),),)</f>
        <v/>
      </c>
      <c r="O369" s="177" t="str">
        <f>IF($P369&lt;&gt;"",IF(MAXIFS(Investment!$AI:$AI,Investment!$H:$H,LEFT($P369,30)&amp;"*"),MAXIFS(Investment!$AI:$AI,Investment!$H:$H,LEFT($P369,30)&amp;"*"),),)</f>
        <v/>
      </c>
      <c r="P369" s="172"/>
      <c r="Q369" s="173"/>
      <c r="R369" s="171"/>
    </row>
    <row r="370">
      <c r="A370" s="165">
        <v>43426.0</v>
      </c>
      <c r="B370" s="166" t="s">
        <v>127</v>
      </c>
      <c r="C370" s="55" t="s">
        <v>128</v>
      </c>
      <c r="D370" s="168" t="s">
        <v>280</v>
      </c>
      <c r="E370" s="168">
        <v>-7.0</v>
      </c>
      <c r="F370" s="169">
        <v>162.69</v>
      </c>
      <c r="G370" s="170">
        <v>1138.83</v>
      </c>
      <c r="H370" s="167" t="s">
        <v>820</v>
      </c>
      <c r="I370" s="171">
        <f t="shared" ref="I370:J370" si="375">IFS(AND($B370&lt;&gt;"",$E370&lt;&gt;""),IF(INDEX(N:N,MATCH($C370,$P:$P,0),1)&lt;&gt;"",$E370*INDEX(N:N,MATCH($C370,$P:$P,0),1)+$G370,""),AND($B370&lt;&gt;"",$D370="COST",$G370&lt;0),$G370,TRUE,)</f>
        <v>-158.06</v>
      </c>
      <c r="J370" s="171">
        <f t="shared" si="375"/>
        <v>-98.71482353</v>
      </c>
      <c r="K370" s="172" t="str">
        <f t="shared" si="3"/>
        <v>iShares Treasury Bond 7-10 UCITS</v>
      </c>
      <c r="L370" s="173">
        <f t="shared" si="4"/>
        <v>547</v>
      </c>
      <c r="M370" s="174">
        <f t="shared" si="5"/>
        <v>-81771.76</v>
      </c>
      <c r="N370" s="176" t="str">
        <f>IF($P370&lt;&gt;"",IF(MAXIFS(Investment!$M:$M,Investment!$H:$H,LEFT($P370,30)&amp;"*"),MAXIFS(Investment!$M:$M,Investment!$H:$H,LEFT($P370,30)&amp;"*"),),)</f>
        <v/>
      </c>
      <c r="O370" s="177" t="str">
        <f>IF($P370&lt;&gt;"",IF(MAXIFS(Investment!$AI:$AI,Investment!$H:$H,LEFT($P370,30)&amp;"*"),MAXIFS(Investment!$AI:$AI,Investment!$H:$H,LEFT($P370,30)&amp;"*"),),)</f>
        <v/>
      </c>
      <c r="P370" s="172"/>
      <c r="Q370" s="173"/>
      <c r="R370" s="171"/>
    </row>
    <row r="371">
      <c r="A371" s="165">
        <v>43426.0</v>
      </c>
      <c r="B371" s="166" t="s">
        <v>127</v>
      </c>
      <c r="C371" s="55" t="s">
        <v>128</v>
      </c>
      <c r="D371" s="168" t="s">
        <v>301</v>
      </c>
      <c r="E371" s="168"/>
      <c r="F371" s="169"/>
      <c r="G371" s="170">
        <v>-2.23</v>
      </c>
      <c r="H371" s="167" t="s">
        <v>766</v>
      </c>
      <c r="I371" s="171">
        <f t="shared" ref="I371:J371" si="376">IFS(AND($B371&lt;&gt;"",$E371&lt;&gt;""),IF(INDEX(N:N,MATCH($C371,$P:$P,0),1)&lt;&gt;"",$E371*INDEX(N:N,MATCH($C371,$P:$P,0),1)+$G371,""),AND($B371&lt;&gt;"",$D371="COST",$G371&lt;0),$G371,TRUE,)</f>
        <v>-2.23</v>
      </c>
      <c r="J371" s="171">
        <f t="shared" si="376"/>
        <v>-2.23</v>
      </c>
      <c r="K371" s="172" t="str">
        <f t="shared" si="3"/>
        <v>iShares Treasury Bond 7-10 UCITS</v>
      </c>
      <c r="L371" s="173">
        <f t="shared" si="4"/>
        <v>547</v>
      </c>
      <c r="M371" s="174">
        <f t="shared" si="5"/>
        <v>-81771.76</v>
      </c>
      <c r="N371" s="176" t="str">
        <f>IF($P371&lt;&gt;"",IF(MAXIFS(Investment!$M:$M,Investment!$H:$H,LEFT($P371,30)&amp;"*"),MAXIFS(Investment!$M:$M,Investment!$H:$H,LEFT($P371,30)&amp;"*"),),)</f>
        <v/>
      </c>
      <c r="O371" s="177" t="str">
        <f>IF($P371&lt;&gt;"",IF(MAXIFS(Investment!$AI:$AI,Investment!$H:$H,LEFT($P371,30)&amp;"*"),MAXIFS(Investment!$AI:$AI,Investment!$H:$H,LEFT($P371,30)&amp;"*"),),)</f>
        <v/>
      </c>
      <c r="P371" s="172"/>
      <c r="Q371" s="173"/>
      <c r="R371" s="171"/>
    </row>
    <row r="372">
      <c r="A372" s="165">
        <v>43426.0</v>
      </c>
      <c r="B372" s="166" t="s">
        <v>122</v>
      </c>
      <c r="C372" s="167" t="s">
        <v>123</v>
      </c>
      <c r="D372" s="168" t="s">
        <v>280</v>
      </c>
      <c r="E372" s="168">
        <v>-1.0</v>
      </c>
      <c r="F372" s="169">
        <v>102.84</v>
      </c>
      <c r="G372" s="170">
        <v>102.84</v>
      </c>
      <c r="H372" s="167" t="s">
        <v>821</v>
      </c>
      <c r="I372" s="171">
        <f t="shared" ref="I372:J372" si="377">IFS(AND($B372&lt;&gt;"",$E372&lt;&gt;""),IF(INDEX(N:N,MATCH($C372,$P:$P,0),1)&lt;&gt;"",$E372*INDEX(N:N,MATCH($C372,$P:$P,0),1)+$G372,""),AND($B372&lt;&gt;"",$D372="COST",$G372&lt;0),$G372,TRUE,)</f>
        <v>-22.78</v>
      </c>
      <c r="J372" s="171">
        <f t="shared" si="377"/>
        <v>-13.06619608</v>
      </c>
      <c r="K372" s="172" t="str">
        <f t="shared" si="3"/>
        <v>ETFS Physical Gold</v>
      </c>
      <c r="L372" s="173">
        <f t="shared" si="4"/>
        <v>353</v>
      </c>
      <c r="M372" s="174">
        <f t="shared" si="5"/>
        <v>-33586.49</v>
      </c>
      <c r="N372" s="176" t="str">
        <f>IF($P372&lt;&gt;"",IF(MAXIFS(Investment!$M:$M,Investment!$H:$H,LEFT($P372,30)&amp;"*"),MAXIFS(Investment!$M:$M,Investment!$H:$H,LEFT($P372,30)&amp;"*"),),)</f>
        <v/>
      </c>
      <c r="O372" s="177" t="str">
        <f>IF($P372&lt;&gt;"",IF(MAXIFS(Investment!$AI:$AI,Investment!$H:$H,LEFT($P372,30)&amp;"*"),MAXIFS(Investment!$AI:$AI,Investment!$H:$H,LEFT($P372,30)&amp;"*"),),)</f>
        <v/>
      </c>
      <c r="P372" s="172"/>
      <c r="Q372" s="173"/>
      <c r="R372" s="171"/>
    </row>
    <row r="373">
      <c r="A373" s="165">
        <v>43419.0</v>
      </c>
      <c r="B373" s="166" t="s">
        <v>138</v>
      </c>
      <c r="C373" s="167" t="s">
        <v>139</v>
      </c>
      <c r="D373" s="168" t="s">
        <v>332</v>
      </c>
      <c r="E373" s="168">
        <v>60.0</v>
      </c>
      <c r="F373" s="169">
        <v>45.362</v>
      </c>
      <c r="G373" s="170">
        <v>-2721.72</v>
      </c>
      <c r="H373" s="167" t="s">
        <v>822</v>
      </c>
      <c r="I373" s="171">
        <f t="shared" ref="I373:J373" si="378">IFS(AND($B373&lt;&gt;"",$E373&lt;&gt;""),IF(INDEX(N:N,MATCH($C373,$P:$P,0),1)&lt;&gt;"",$E373*INDEX(N:N,MATCH($C373,$P:$P,0),1)+$G373,""),AND($B373&lt;&gt;"",$D373="COST",$G373&lt;0),$G373,TRUE,)</f>
        <v>475.38</v>
      </c>
      <c r="J373" s="171">
        <f t="shared" si="378"/>
        <v>166.5470588</v>
      </c>
      <c r="K373" s="172" t="str">
        <f t="shared" si="3"/>
        <v>Vanguard S&amp;P 500 UCITS</v>
      </c>
      <c r="L373" s="173">
        <f t="shared" si="4"/>
        <v>3715</v>
      </c>
      <c r="M373" s="174">
        <f t="shared" si="5"/>
        <v>-151722.66</v>
      </c>
      <c r="N373" s="176" t="str">
        <f>IF($P373&lt;&gt;"",IF(MAXIFS(Investment!$M:$M,Investment!$H:$H,LEFT($P373,30)&amp;"*"),MAXIFS(Investment!$M:$M,Investment!$H:$H,LEFT($P373,30)&amp;"*"),),)</f>
        <v/>
      </c>
      <c r="O373" s="177" t="str">
        <f>IF($P373&lt;&gt;"",IF(MAXIFS(Investment!$AI:$AI,Investment!$H:$H,LEFT($P373,30)&amp;"*"),MAXIFS(Investment!$AI:$AI,Investment!$H:$H,LEFT($P373,30)&amp;"*"),),)</f>
        <v/>
      </c>
      <c r="P373" s="172"/>
      <c r="Q373" s="173"/>
      <c r="R373" s="171"/>
    </row>
    <row r="374">
      <c r="A374" s="165">
        <v>43419.0</v>
      </c>
      <c r="B374" s="166" t="s">
        <v>127</v>
      </c>
      <c r="C374" s="55" t="s">
        <v>128</v>
      </c>
      <c r="D374" s="168" t="s">
        <v>332</v>
      </c>
      <c r="E374" s="168">
        <v>7.0</v>
      </c>
      <c r="F374" s="169">
        <v>163.75</v>
      </c>
      <c r="G374" s="170">
        <v>-1146.25</v>
      </c>
      <c r="H374" s="167" t="s">
        <v>823</v>
      </c>
      <c r="I374" s="171">
        <f t="shared" ref="I374:J374" si="379">IFS(AND($B374&lt;&gt;"",$E374&lt;&gt;""),IF(INDEX(N:N,MATCH($C374,$P:$P,0),1)&lt;&gt;"",$E374*INDEX(N:N,MATCH($C374,$P:$P,0),1)+$G374,""),AND($B374&lt;&gt;"",$D374="COST",$G374&lt;0),$G374,TRUE,)</f>
        <v>150.64</v>
      </c>
      <c r="J374" s="171">
        <f t="shared" si="379"/>
        <v>91.29482353</v>
      </c>
      <c r="K374" s="301" t="str">
        <f t="shared" si="3"/>
        <v>iShares Treasury Bond 7-10 UCITS</v>
      </c>
      <c r="L374" s="302">
        <f t="shared" si="4"/>
        <v>547</v>
      </c>
      <c r="M374" s="303">
        <f t="shared" si="5"/>
        <v>-81771.76</v>
      </c>
      <c r="N374" s="304" t="str">
        <f>IF($P374&lt;&gt;"",IF(MAXIFS(Investment!$M:$M,Investment!$H:$H,LEFT($P374,30)&amp;"*"),MAXIFS(Investment!$M:$M,Investment!$H:$H,LEFT($P374,30)&amp;"*"),),)</f>
        <v/>
      </c>
      <c r="O374" s="305" t="str">
        <f>IF($P374&lt;&gt;"",IF(MAXIFS(Investment!$AI:$AI,Investment!$H:$H,LEFT($P374,30)&amp;"*"),MAXIFS(Investment!$AI:$AI,Investment!$H:$H,LEFT($P374,30)&amp;"*"),),)</f>
        <v/>
      </c>
      <c r="P374" s="301"/>
      <c r="Q374" s="302"/>
      <c r="R374" s="306"/>
    </row>
    <row r="375">
      <c r="A375" s="165">
        <v>43417.0</v>
      </c>
      <c r="B375" s="166"/>
      <c r="C375" s="167"/>
      <c r="D375" s="168" t="s">
        <v>299</v>
      </c>
      <c r="E375" s="168"/>
      <c r="F375" s="169"/>
      <c r="G375" s="170">
        <v>-300.0</v>
      </c>
      <c r="H375" s="167" t="s">
        <v>325</v>
      </c>
      <c r="I375" s="171" t="str">
        <f t="shared" ref="I375:J375" si="380">IFS(AND($B375&lt;&gt;"",$E375&lt;&gt;""),IF(INDEX(N:N,MATCH($C375,$P:$P,0),1)&lt;&gt;"",$E375*INDEX(N:N,MATCH($C375,$P:$P,0),1)+$G375,""),AND($B375&lt;&gt;"",$D375="COST",$G375&lt;0),$G375,TRUE,)</f>
        <v/>
      </c>
      <c r="J375" s="171" t="str">
        <f t="shared" si="380"/>
        <v/>
      </c>
      <c r="K375" s="172" t="str">
        <f t="shared" si="3"/>
        <v/>
      </c>
      <c r="L375" s="173" t="str">
        <f t="shared" si="4"/>
        <v/>
      </c>
      <c r="M375" s="174" t="str">
        <f t="shared" si="5"/>
        <v/>
      </c>
      <c r="N375" s="176" t="str">
        <f>IF($P375&lt;&gt;"",IF(MAXIFS(Investment!$M:$M,Investment!$H:$H,LEFT($P375,30)&amp;"*"),MAXIFS(Investment!$M:$M,Investment!$H:$H,LEFT($P375,30)&amp;"*"),),)</f>
        <v/>
      </c>
      <c r="O375" s="177" t="str">
        <f>IF($P375&lt;&gt;"",IF(MAXIFS(Investment!$AI:$AI,Investment!$H:$H,LEFT($P375,30)&amp;"*"),MAXIFS(Investment!$AI:$AI,Investment!$H:$H,LEFT($P375,30)&amp;"*"),),)</f>
        <v/>
      </c>
      <c r="P375" s="172"/>
      <c r="Q375" s="173"/>
      <c r="R375" s="171"/>
    </row>
    <row r="376">
      <c r="A376" s="165">
        <v>43405.0</v>
      </c>
      <c r="B376" s="166" t="s">
        <v>138</v>
      </c>
      <c r="C376" s="167" t="s">
        <v>139</v>
      </c>
      <c r="D376" s="168" t="s">
        <v>332</v>
      </c>
      <c r="E376" s="168">
        <v>239.0</v>
      </c>
      <c r="F376" s="169">
        <v>45.493</v>
      </c>
      <c r="G376" s="170">
        <v>-10872.83</v>
      </c>
      <c r="H376" s="167" t="s">
        <v>824</v>
      </c>
      <c r="I376" s="171">
        <f t="shared" ref="I376:J376" si="381">IFS(AND($B376&lt;&gt;"",$E376&lt;&gt;""),IF(INDEX(N:N,MATCH($C376,$P:$P,0),1)&lt;&gt;"",$E376*INDEX(N:N,MATCH($C376,$P:$P,0),1)+$G376,""),AND($B376&lt;&gt;"",$D376="COST",$G376&lt;0),$G376,TRUE,)</f>
        <v>1862.285</v>
      </c>
      <c r="J376" s="171">
        <f t="shared" si="381"/>
        <v>632.100451</v>
      </c>
      <c r="K376" s="172" t="str">
        <f t="shared" si="3"/>
        <v>Vanguard S&amp;P 500 UCITS</v>
      </c>
      <c r="L376" s="173">
        <f t="shared" si="4"/>
        <v>3715</v>
      </c>
      <c r="M376" s="174">
        <f t="shared" si="5"/>
        <v>-151722.66</v>
      </c>
      <c r="N376" s="176" t="str">
        <f>IF($P376&lt;&gt;"",IF(MAXIFS(Investment!$M:$M,Investment!$H:$H,LEFT($P376,30)&amp;"*"),MAXIFS(Investment!$M:$M,Investment!$H:$H,LEFT($P376,30)&amp;"*"),),)</f>
        <v/>
      </c>
      <c r="O376" s="177" t="str">
        <f>IF($P376&lt;&gt;"",IF(MAXIFS(Investment!$AI:$AI,Investment!$H:$H,LEFT($P376,30)&amp;"*"),MAXIFS(Investment!$AI:$AI,Investment!$H:$H,LEFT($P376,30)&amp;"*"),),)</f>
        <v/>
      </c>
      <c r="P376" s="172"/>
      <c r="Q376" s="173"/>
      <c r="R376" s="171"/>
    </row>
    <row r="377">
      <c r="A377" s="165">
        <v>43405.0</v>
      </c>
      <c r="B377" s="166" t="s">
        <v>118</v>
      </c>
      <c r="C377" s="167" t="s">
        <v>120</v>
      </c>
      <c r="D377" s="168" t="s">
        <v>332</v>
      </c>
      <c r="E377" s="168">
        <v>326.0</v>
      </c>
      <c r="F377" s="169">
        <v>7.482</v>
      </c>
      <c r="G377" s="170">
        <v>-2439.13</v>
      </c>
      <c r="H377" s="167" t="s">
        <v>825</v>
      </c>
      <c r="I377" s="171">
        <f t="shared" ref="I377:J377" si="382">IFS(AND($B377&lt;&gt;"",$E377&lt;&gt;""),IF(INDEX(N:N,MATCH($C377,$P:$P,0),1)&lt;&gt;"",$E377*INDEX(N:N,MATCH($C377,$P:$P,0),1)+$G377,""),AND($B377&lt;&gt;"",$D377="COST",$G377&lt;0),$G377,TRUE,)</f>
        <v>-33.25</v>
      </c>
      <c r="J377" s="171">
        <f t="shared" si="382"/>
        <v>-76.60672157</v>
      </c>
      <c r="K377" s="172" t="str">
        <f t="shared" si="3"/>
        <v>ETFS All Commodities ETC</v>
      </c>
      <c r="L377" s="173">
        <f t="shared" si="4"/>
        <v>11745</v>
      </c>
      <c r="M377" s="174">
        <f t="shared" si="5"/>
        <v>-84366.02</v>
      </c>
      <c r="N377" s="176" t="str">
        <f>IF($P377&lt;&gt;"",IF(MAXIFS(Investment!$M:$M,Investment!$H:$H,LEFT($P377,30)&amp;"*"),MAXIFS(Investment!$M:$M,Investment!$H:$H,LEFT($P377,30)&amp;"*"),),)</f>
        <v/>
      </c>
      <c r="O377" s="177" t="str">
        <f>IF($P377&lt;&gt;"",IF(MAXIFS(Investment!$AI:$AI,Investment!$H:$H,LEFT($P377,30)&amp;"*"),MAXIFS(Investment!$AI:$AI,Investment!$H:$H,LEFT($P377,30)&amp;"*"),),)</f>
        <v/>
      </c>
      <c r="P377" s="172"/>
      <c r="Q377" s="173"/>
      <c r="R377" s="171"/>
    </row>
    <row r="378">
      <c r="A378" s="165">
        <v>43405.0</v>
      </c>
      <c r="B378" s="166" t="s">
        <v>134</v>
      </c>
      <c r="C378" s="55" t="s">
        <v>710</v>
      </c>
      <c r="D378" s="168" t="s">
        <v>301</v>
      </c>
      <c r="E378" s="307"/>
      <c r="F378" s="169"/>
      <c r="G378" s="170">
        <v>-4.09</v>
      </c>
      <c r="H378" s="167" t="s">
        <v>826</v>
      </c>
      <c r="I378" s="171">
        <f t="shared" ref="I378:J378" si="383">IFS(AND($B378&lt;&gt;"",$E378&lt;&gt;""),IF(INDEX(N:N,MATCH($C378,$P:$P,0),1)&lt;&gt;"",$E378*INDEX(N:N,MATCH($C378,$P:$P,0),1)+$G378,""),AND($B378&lt;&gt;"",$D378="COST",$G378&lt;0),$G378,TRUE,)</f>
        <v>-4.09</v>
      </c>
      <c r="J378" s="171">
        <f t="shared" si="383"/>
        <v>-4.09</v>
      </c>
      <c r="K378" s="172" t="str">
        <f t="shared" si="3"/>
        <v>iShares Treasury Bond 20+ UCITS USD Dist</v>
      </c>
      <c r="L378" s="173">
        <f t="shared" si="4"/>
        <v>0</v>
      </c>
      <c r="M378" s="174">
        <f t="shared" si="5"/>
        <v>27424.27</v>
      </c>
      <c r="N378" s="176" t="str">
        <f>IF($P378&lt;&gt;"",IF(MAXIFS(Investment!$M:$M,Investment!$H:$H,LEFT($P378,30)&amp;"*"),MAXIFS(Investment!$M:$M,Investment!$H:$H,LEFT($P378,30)&amp;"*"),),)</f>
        <v/>
      </c>
      <c r="O378" s="177" t="str">
        <f>IF($P378&lt;&gt;"",IF(MAXIFS(Investment!$AI:$AI,Investment!$H:$H,LEFT($P378,30)&amp;"*"),MAXIFS(Investment!$AI:$AI,Investment!$H:$H,LEFT($P378,30)&amp;"*"),),)</f>
        <v/>
      </c>
      <c r="P378" s="172"/>
      <c r="Q378" s="173"/>
      <c r="R378" s="171"/>
    </row>
    <row r="379">
      <c r="A379" s="165">
        <v>43405.0</v>
      </c>
      <c r="B379" s="166" t="s">
        <v>134</v>
      </c>
      <c r="C379" s="55" t="s">
        <v>710</v>
      </c>
      <c r="D379" s="168" t="s">
        <v>332</v>
      </c>
      <c r="E379" s="168">
        <v>2786.0</v>
      </c>
      <c r="F379" s="169">
        <v>3.756</v>
      </c>
      <c r="G379" s="170">
        <v>-10463.08</v>
      </c>
      <c r="H379" s="167" t="s">
        <v>827</v>
      </c>
      <c r="I379" s="171">
        <f t="shared" ref="I379:J379" si="384">IFS(AND($B379&lt;&gt;"",$E379&lt;&gt;""),IF(INDEX(N:N,MATCH($C379,$P:$P,0),1)&lt;&gt;"",$E379*INDEX(N:N,MATCH($C379,$P:$P,0),1)+$G379,""),AND($B379&lt;&gt;"",$D379="COST",$G379&lt;0),$G379,TRUE,)</f>
        <v>2397.096</v>
      </c>
      <c r="J379" s="171">
        <f t="shared" si="384"/>
        <v>1565.308386</v>
      </c>
      <c r="K379" s="172" t="str">
        <f t="shared" si="3"/>
        <v>iShares Treasury Bond 20+ UCITS USD Dist</v>
      </c>
      <c r="L379" s="173">
        <f t="shared" si="4"/>
        <v>0</v>
      </c>
      <c r="M379" s="174">
        <f t="shared" si="5"/>
        <v>27424.27</v>
      </c>
      <c r="N379" s="176" t="str">
        <f>IF($P379&lt;&gt;"",IF(MAXIFS(Investment!$M:$M,Investment!$H:$H,LEFT($P379,30)&amp;"*"),MAXIFS(Investment!$M:$M,Investment!$H:$H,LEFT($P379,30)&amp;"*"),),)</f>
        <v/>
      </c>
      <c r="O379" s="177" t="str">
        <f>IF($P379&lt;&gt;"",IF(MAXIFS(Investment!$AI:$AI,Investment!$H:$H,LEFT($P379,30)&amp;"*"),MAXIFS(Investment!$AI:$AI,Investment!$H:$H,LEFT($P379,30)&amp;"*"),),)</f>
        <v/>
      </c>
      <c r="P379" s="172"/>
      <c r="Q379" s="173"/>
      <c r="R379" s="171"/>
    </row>
    <row r="380">
      <c r="A380" s="165">
        <v>43405.0</v>
      </c>
      <c r="B380" s="166" t="s">
        <v>127</v>
      </c>
      <c r="C380" s="55" t="s">
        <v>128</v>
      </c>
      <c r="D380" s="168" t="s">
        <v>332</v>
      </c>
      <c r="E380" s="168">
        <v>16.0</v>
      </c>
      <c r="F380" s="169">
        <v>163.81</v>
      </c>
      <c r="G380" s="170">
        <v>-2620.96</v>
      </c>
      <c r="H380" s="167" t="s">
        <v>828</v>
      </c>
      <c r="I380" s="171">
        <f t="shared" ref="I380:J380" si="385">IFS(AND($B380&lt;&gt;"",$E380&lt;&gt;""),IF(INDEX(N:N,MATCH($C380,$P:$P,0),1)&lt;&gt;"",$E380*INDEX(N:N,MATCH($C380,$P:$P,0),1)+$G380,""),AND($B380&lt;&gt;"",$D380="COST",$G380&lt;0),$G380,TRUE,)</f>
        <v>343.36</v>
      </c>
      <c r="J380" s="171">
        <f t="shared" si="385"/>
        <v>207.7138824</v>
      </c>
      <c r="K380" s="172" t="str">
        <f t="shared" si="3"/>
        <v>iShares Treasury Bond 7-10 UCITS</v>
      </c>
      <c r="L380" s="173">
        <f t="shared" si="4"/>
        <v>547</v>
      </c>
      <c r="M380" s="174">
        <f t="shared" si="5"/>
        <v>-81771.76</v>
      </c>
      <c r="N380" s="176" t="str">
        <f>IF($P380&lt;&gt;"",IF(MAXIFS(Investment!$M:$M,Investment!$H:$H,LEFT($P380,30)&amp;"*"),MAXIFS(Investment!$M:$M,Investment!$H:$H,LEFT($P380,30)&amp;"*"),),)</f>
        <v/>
      </c>
      <c r="O380" s="177" t="str">
        <f>IF($P380&lt;&gt;"",IF(MAXIFS(Investment!$AI:$AI,Investment!$H:$H,LEFT($P380,30)&amp;"*"),MAXIFS(Investment!$AI:$AI,Investment!$H:$H,LEFT($P380,30)&amp;"*"),),)</f>
        <v/>
      </c>
      <c r="P380" s="172"/>
      <c r="Q380" s="173"/>
      <c r="R380" s="171"/>
    </row>
    <row r="381">
      <c r="A381" s="165">
        <v>43404.0</v>
      </c>
      <c r="B381" s="166"/>
      <c r="C381" s="167"/>
      <c r="D381" s="168" t="s">
        <v>301</v>
      </c>
      <c r="E381" s="168"/>
      <c r="F381" s="169"/>
      <c r="G381" s="170">
        <v>-555.0</v>
      </c>
      <c r="H381" s="167" t="s">
        <v>829</v>
      </c>
      <c r="I381" s="171" t="str">
        <f t="shared" ref="I381:J381" si="386">IFS(AND($B381&lt;&gt;"",$E381&lt;&gt;""),IF(INDEX(N:N,MATCH($C381,$P:$P,0),1)&lt;&gt;"",$E381*INDEX(N:N,MATCH($C381,$P:$P,0),1)+$G381,""),AND($B381&lt;&gt;"",$D381="COST",$G381&lt;0),$G381,TRUE,)</f>
        <v/>
      </c>
      <c r="J381" s="171" t="str">
        <f t="shared" si="386"/>
        <v/>
      </c>
      <c r="K381" s="172" t="str">
        <f t="shared" si="3"/>
        <v/>
      </c>
      <c r="L381" s="173" t="str">
        <f t="shared" si="4"/>
        <v/>
      </c>
      <c r="M381" s="174" t="str">
        <f t="shared" si="5"/>
        <v/>
      </c>
      <c r="N381" s="176" t="str">
        <f>IF($P381&lt;&gt;"",IF(MAXIFS(Investment!$M:$M,Investment!$H:$H,LEFT($P381,30)&amp;"*"),MAXIFS(Investment!$M:$M,Investment!$H:$H,LEFT($P381,30)&amp;"*"),),)</f>
        <v/>
      </c>
      <c r="O381" s="177" t="str">
        <f>IF($P381&lt;&gt;"",IF(MAXIFS(Investment!$AI:$AI,Investment!$H:$H,LEFT($P381,30)&amp;"*"),MAXIFS(Investment!$AI:$AI,Investment!$H:$H,LEFT($P381,30)&amp;"*"),),)</f>
        <v/>
      </c>
      <c r="P381" s="172"/>
      <c r="Q381" s="173"/>
      <c r="R381" s="171"/>
    </row>
    <row r="382">
      <c r="A382" s="165">
        <v>43398.0</v>
      </c>
      <c r="B382" s="55"/>
      <c r="C382" s="55"/>
      <c r="D382" s="55" t="s">
        <v>299</v>
      </c>
      <c r="E382" s="55"/>
      <c r="F382" s="169"/>
      <c r="G382" s="170">
        <v>6060.0</v>
      </c>
      <c r="H382" s="55" t="s">
        <v>830</v>
      </c>
      <c r="I382" s="171" t="str">
        <f t="shared" ref="I382:J382" si="387">IFS(AND($B382&lt;&gt;"",$E382&lt;&gt;""),IF(INDEX(N:N,MATCH($C382,$P:$P,0),1)&lt;&gt;"",$E382*INDEX(N:N,MATCH($C382,$P:$P,0),1)+$G382,""),AND($B382&lt;&gt;"",$D382="COST",$G382&lt;0),$G382,TRUE,)</f>
        <v/>
      </c>
      <c r="J382" s="171" t="str">
        <f t="shared" si="387"/>
        <v/>
      </c>
      <c r="K382" s="172" t="str">
        <f t="shared" si="3"/>
        <v/>
      </c>
      <c r="L382" s="173" t="str">
        <f t="shared" si="4"/>
        <v/>
      </c>
      <c r="M382" s="174" t="str">
        <f t="shared" si="5"/>
        <v/>
      </c>
      <c r="N382" s="176" t="str">
        <f>IF($P382&lt;&gt;"",IF(MAXIFS(Investment!$M:$M,Investment!$H:$H,LEFT($P382,30)&amp;"*"),MAXIFS(Investment!$M:$M,Investment!$H:$H,LEFT($P382,30)&amp;"*"),),)</f>
        <v/>
      </c>
      <c r="O382" s="177" t="str">
        <f>IF($P382&lt;&gt;"",IF(MAXIFS(Investment!$AI:$AI,Investment!$H:$H,LEFT($P382,30)&amp;"*"),MAXIFS(Investment!$AI:$AI,Investment!$H:$H,LEFT($P382,30)&amp;"*"),),)</f>
        <v/>
      </c>
      <c r="P382" s="172"/>
      <c r="Q382" s="173"/>
      <c r="R382" s="171"/>
    </row>
    <row r="383">
      <c r="A383" s="165">
        <v>43385.0</v>
      </c>
      <c r="B383" s="55" t="s">
        <v>134</v>
      </c>
      <c r="C383" s="55" t="s">
        <v>710</v>
      </c>
      <c r="D383" s="55" t="s">
        <v>301</v>
      </c>
      <c r="E383" s="55"/>
      <c r="F383" s="169"/>
      <c r="G383" s="170">
        <v>-2.82</v>
      </c>
      <c r="H383" s="55" t="s">
        <v>831</v>
      </c>
      <c r="I383" s="171">
        <f t="shared" ref="I383:J383" si="388">IFS(AND($B383&lt;&gt;"",$E383&lt;&gt;""),IF(INDEX(N:N,MATCH($C383,$P:$P,0),1)&lt;&gt;"",$E383*INDEX(N:N,MATCH($C383,$P:$P,0),1)+$G383,""),AND($B383&lt;&gt;"",$D383="COST",$G383&lt;0),$G383,TRUE,)</f>
        <v>-2.82</v>
      </c>
      <c r="J383" s="171">
        <f t="shared" si="388"/>
        <v>-2.82</v>
      </c>
      <c r="K383" s="172" t="str">
        <f t="shared" si="3"/>
        <v>iShares Treasury Bond 20+ UCITS USD Dist</v>
      </c>
      <c r="L383" s="173">
        <f t="shared" si="4"/>
        <v>0</v>
      </c>
      <c r="M383" s="174">
        <f t="shared" si="5"/>
        <v>27424.27</v>
      </c>
      <c r="N383" s="176" t="str">
        <f>IF($P383&lt;&gt;"",IF(MAXIFS(Investment!$M:$M,Investment!$H:$H,LEFT($P383,30)&amp;"*"),MAXIFS(Investment!$M:$M,Investment!$H:$H,LEFT($P383,30)&amp;"*"),),)</f>
        <v/>
      </c>
      <c r="O383" s="177" t="str">
        <f>IF($P383&lt;&gt;"",IF(MAXIFS(Investment!$AI:$AI,Investment!$H:$H,LEFT($P383,30)&amp;"*"),MAXIFS(Investment!$AI:$AI,Investment!$H:$H,LEFT($P383,30)&amp;"*"),),)</f>
        <v/>
      </c>
      <c r="P383" s="172"/>
      <c r="Q383" s="173"/>
      <c r="R383" s="171"/>
    </row>
    <row r="384">
      <c r="A384" s="165">
        <v>43385.0</v>
      </c>
      <c r="B384" s="55" t="s">
        <v>134</v>
      </c>
      <c r="C384" s="55" t="s">
        <v>710</v>
      </c>
      <c r="D384" s="55" t="s">
        <v>280</v>
      </c>
      <c r="E384" s="50">
        <v>-1106.0</v>
      </c>
      <c r="F384" s="169">
        <v>3.708</v>
      </c>
      <c r="G384" s="170">
        <v>4101.58</v>
      </c>
      <c r="H384" s="55" t="s">
        <v>832</v>
      </c>
      <c r="I384" s="171">
        <f t="shared" ref="I384:J384" si="389">IFS(AND($B384&lt;&gt;"",$E384&lt;&gt;""),IF(INDEX(N:N,MATCH($C384,$P:$P,0),1)&lt;&gt;"",$E384*INDEX(N:N,MATCH($C384,$P:$P,0),1)+$G384,""),AND($B384&lt;&gt;"",$D384="COST",$G384&lt;0),$G384,TRUE,)</f>
        <v>-1003.716</v>
      </c>
      <c r="J384" s="171">
        <f t="shared" si="389"/>
        <v>-673.5088569</v>
      </c>
      <c r="K384" s="172" t="str">
        <f t="shared" si="3"/>
        <v>iShares Treasury Bond 20+ UCITS USD Dist</v>
      </c>
      <c r="L384" s="173">
        <f t="shared" si="4"/>
        <v>0</v>
      </c>
      <c r="M384" s="174">
        <f t="shared" si="5"/>
        <v>27424.27</v>
      </c>
      <c r="N384" s="176" t="str">
        <f>IF($P384&lt;&gt;"",IF(MAXIFS(Investment!$M:$M,Investment!$H:$H,LEFT($P384,30)&amp;"*"),MAXIFS(Investment!$M:$M,Investment!$H:$H,LEFT($P384,30)&amp;"*"),),)</f>
        <v/>
      </c>
      <c r="O384" s="177" t="str">
        <f>IF($P384&lt;&gt;"",IF(MAXIFS(Investment!$AI:$AI,Investment!$H:$H,LEFT($P384,30)&amp;"*"),MAXIFS(Investment!$AI:$AI,Investment!$H:$H,LEFT($P384,30)&amp;"*"),),)</f>
        <v/>
      </c>
      <c r="P384" s="172"/>
      <c r="Q384" s="173"/>
      <c r="R384" s="171"/>
    </row>
    <row r="385">
      <c r="A385" s="165">
        <v>43385.0</v>
      </c>
      <c r="B385" s="55" t="s">
        <v>127</v>
      </c>
      <c r="C385" s="55" t="s">
        <v>128</v>
      </c>
      <c r="D385" s="55" t="s">
        <v>280</v>
      </c>
      <c r="E385" s="55">
        <v>-11.0</v>
      </c>
      <c r="F385" s="169">
        <v>160.47</v>
      </c>
      <c r="G385" s="170">
        <v>1765.17</v>
      </c>
      <c r="H385" s="55" t="s">
        <v>833</v>
      </c>
      <c r="I385" s="171">
        <f t="shared" ref="I385:J385" si="390">IFS(AND($B385&lt;&gt;"",$E385&lt;&gt;""),IF(INDEX(N:N,MATCH($C385,$P:$P,0),1)&lt;&gt;"",$E385*INDEX(N:N,MATCH($C385,$P:$P,0),1)+$G385,""),AND($B385&lt;&gt;"",$D385="COST",$G385&lt;0),$G385,TRUE,)</f>
        <v>-272.8</v>
      </c>
      <c r="J385" s="171">
        <f t="shared" si="390"/>
        <v>-179.5432941</v>
      </c>
      <c r="K385" s="172" t="str">
        <f t="shared" si="3"/>
        <v>iShares Treasury Bond 7-10 UCITS</v>
      </c>
      <c r="L385" s="173">
        <f t="shared" si="4"/>
        <v>547</v>
      </c>
      <c r="M385" s="174">
        <f t="shared" si="5"/>
        <v>-81771.76</v>
      </c>
      <c r="N385" s="176" t="str">
        <f>IF($P385&lt;&gt;"",IF(MAXIFS(Investment!$M:$M,Investment!$H:$H,LEFT($P385,30)&amp;"*"),MAXIFS(Investment!$M:$M,Investment!$H:$H,LEFT($P385,30)&amp;"*"),),)</f>
        <v/>
      </c>
      <c r="O385" s="177" t="str">
        <f>IF($P385&lt;&gt;"",IF(MAXIFS(Investment!$AI:$AI,Investment!$H:$H,LEFT($P385,30)&amp;"*"),MAXIFS(Investment!$AI:$AI,Investment!$H:$H,LEFT($P385,30)&amp;"*"),),)</f>
        <v/>
      </c>
      <c r="P385" s="172"/>
      <c r="Q385" s="173"/>
      <c r="R385" s="171"/>
    </row>
    <row r="386">
      <c r="A386" s="165">
        <v>43385.0</v>
      </c>
      <c r="B386" s="55" t="s">
        <v>138</v>
      </c>
      <c r="C386" s="55" t="s">
        <v>139</v>
      </c>
      <c r="D386" s="55" t="s">
        <v>332</v>
      </c>
      <c r="E386" s="55">
        <v>55.0</v>
      </c>
      <c r="F386" s="169">
        <v>45.353</v>
      </c>
      <c r="G386" s="170">
        <v>-2494.42</v>
      </c>
      <c r="H386" s="55" t="s">
        <v>834</v>
      </c>
      <c r="I386" s="171">
        <f t="shared" ref="I386:J386" si="391">IFS(AND($B386&lt;&gt;"",$E386&lt;&gt;""),IF(INDEX(N:N,MATCH($C386,$P:$P,0),1)&lt;&gt;"",$E386*INDEX(N:N,MATCH($C386,$P:$P,0),1)+$G386,""),AND($B386&lt;&gt;"",$D386="COST",$G386&lt;0),$G386,TRUE,)</f>
        <v>436.255</v>
      </c>
      <c r="J386" s="171">
        <f t="shared" si="391"/>
        <v>153.1581373</v>
      </c>
      <c r="K386" s="172" t="str">
        <f t="shared" si="3"/>
        <v>Vanguard S&amp;P 500 UCITS</v>
      </c>
      <c r="L386" s="173">
        <f t="shared" si="4"/>
        <v>3715</v>
      </c>
      <c r="M386" s="174">
        <f t="shared" si="5"/>
        <v>-151722.66</v>
      </c>
      <c r="N386" s="176" t="str">
        <f>IF($P386&lt;&gt;"",IF(MAXIFS(Investment!$M:$M,Investment!$H:$H,LEFT($P386,30)&amp;"*"),MAXIFS(Investment!$M:$M,Investment!$H:$H,LEFT($P386,30)&amp;"*"),),)</f>
        <v/>
      </c>
      <c r="O386" s="177" t="str">
        <f>IF($P386&lt;&gt;"",IF(MAXIFS(Investment!$AI:$AI,Investment!$H:$H,LEFT($P386,30)&amp;"*"),MAXIFS(Investment!$AI:$AI,Investment!$H:$H,LEFT($P386,30)&amp;"*"),),)</f>
        <v/>
      </c>
      <c r="P386" s="172"/>
      <c r="Q386" s="173"/>
      <c r="R386" s="171"/>
    </row>
    <row r="387">
      <c r="A387" s="165">
        <v>43385.0</v>
      </c>
      <c r="B387" s="55" t="s">
        <v>134</v>
      </c>
      <c r="C387" s="55" t="s">
        <v>710</v>
      </c>
      <c r="D387" s="55" t="s">
        <v>301</v>
      </c>
      <c r="E387" s="55"/>
      <c r="F387" s="169"/>
      <c r="G387" s="170">
        <v>-4.42</v>
      </c>
      <c r="H387" s="55" t="s">
        <v>769</v>
      </c>
      <c r="I387" s="171">
        <f t="shared" ref="I387:J387" si="392">IFS(AND($B387&lt;&gt;"",$E387&lt;&gt;""),IF(INDEX(N:N,MATCH($C387,$P:$P,0),1)&lt;&gt;"",$E387*INDEX(N:N,MATCH($C387,$P:$P,0),1)+$G387,""),AND($B387&lt;&gt;"",$D387="COST",$G387&lt;0),$G387,TRUE,)</f>
        <v>-4.42</v>
      </c>
      <c r="J387" s="171">
        <f t="shared" si="392"/>
        <v>-4.42</v>
      </c>
      <c r="K387" s="172" t="str">
        <f t="shared" si="3"/>
        <v>iShares Treasury Bond 20+ UCITS USD Dist</v>
      </c>
      <c r="L387" s="173">
        <f t="shared" si="4"/>
        <v>0</v>
      </c>
      <c r="M387" s="174">
        <f t="shared" si="5"/>
        <v>27424.27</v>
      </c>
      <c r="N387" s="176" t="str">
        <f>IF($P387&lt;&gt;"",IF(MAXIFS(Investment!$M:$M,Investment!$H:$H,LEFT($P387,30)&amp;"*"),MAXIFS(Investment!$M:$M,Investment!$H:$H,LEFT($P387,30)&amp;"*"),),)</f>
        <v/>
      </c>
      <c r="O387" s="177" t="str">
        <f>IF($P387&lt;&gt;"",IF(MAXIFS(Investment!$AI:$AI,Investment!$H:$H,LEFT($P387,30)&amp;"*"),MAXIFS(Investment!$AI:$AI,Investment!$H:$H,LEFT($P387,30)&amp;"*"),),)</f>
        <v/>
      </c>
      <c r="P387" s="172"/>
      <c r="Q387" s="173"/>
      <c r="R387" s="171"/>
    </row>
    <row r="388">
      <c r="A388" s="165">
        <v>43385.0</v>
      </c>
      <c r="B388" s="55" t="s">
        <v>134</v>
      </c>
      <c r="C388" s="55" t="s">
        <v>710</v>
      </c>
      <c r="D388" s="55" t="s">
        <v>280</v>
      </c>
      <c r="E388" s="50">
        <v>-3258.0</v>
      </c>
      <c r="F388" s="169">
        <v>3.707</v>
      </c>
      <c r="G388" s="170">
        <v>12076.62</v>
      </c>
      <c r="H388" s="55" t="s">
        <v>835</v>
      </c>
      <c r="I388" s="171">
        <f t="shared" ref="I388:J388" si="393">IFS(AND($B388&lt;&gt;"",$E388&lt;&gt;""),IF(INDEX(N:N,MATCH($C388,$P:$P,0),1)&lt;&gt;"",$E388*INDEX(N:N,MATCH($C388,$P:$P,0),1)+$G388,""),AND($B388&lt;&gt;"",$D388="COST",$G388&lt;0),$G388,TRUE,)</f>
        <v>-2962.308</v>
      </c>
      <c r="J388" s="171">
        <f t="shared" si="393"/>
        <v>-1989.600159</v>
      </c>
      <c r="K388" s="172" t="str">
        <f t="shared" si="3"/>
        <v>iShares Treasury Bond 20+ UCITS USD Dist</v>
      </c>
      <c r="L388" s="173">
        <f t="shared" si="4"/>
        <v>0</v>
      </c>
      <c r="M388" s="174">
        <f t="shared" si="5"/>
        <v>27424.27</v>
      </c>
      <c r="N388" s="176" t="str">
        <f>IF($P388&lt;&gt;"",IF(MAXIFS(Investment!$M:$M,Investment!$H:$H,LEFT($P388,30)&amp;"*"),MAXIFS(Investment!$M:$M,Investment!$H:$H,LEFT($P388,30)&amp;"*"),),)</f>
        <v/>
      </c>
      <c r="O388" s="177" t="str">
        <f>IF($P388&lt;&gt;"",IF(MAXIFS(Investment!$AI:$AI,Investment!$H:$H,LEFT($P388,30)&amp;"*"),MAXIFS(Investment!$AI:$AI,Investment!$H:$H,LEFT($P388,30)&amp;"*"),),)</f>
        <v/>
      </c>
      <c r="P388" s="172"/>
      <c r="Q388" s="173"/>
      <c r="R388" s="171"/>
    </row>
    <row r="389">
      <c r="A389" s="165">
        <v>43385.0</v>
      </c>
      <c r="B389" s="55" t="s">
        <v>122</v>
      </c>
      <c r="C389" s="55" t="s">
        <v>123</v>
      </c>
      <c r="D389" s="55" t="s">
        <v>280</v>
      </c>
      <c r="E389" s="55">
        <v>-10.0</v>
      </c>
      <c r="F389" s="169">
        <v>100.61</v>
      </c>
      <c r="G389" s="170">
        <v>1006.1</v>
      </c>
      <c r="H389" s="55" t="s">
        <v>836</v>
      </c>
      <c r="I389" s="171">
        <f t="shared" ref="I389:J389" si="394">IFS(AND($B389&lt;&gt;"",$E389&lt;&gt;""),IF(INDEX(N:N,MATCH($C389,$P:$P,0),1)&lt;&gt;"",$E389*INDEX(N:N,MATCH($C389,$P:$P,0),1)+$G389,""),AND($B389&lt;&gt;"",$D389="COST",$G389&lt;0),$G389,TRUE,)</f>
        <v>-250.1</v>
      </c>
      <c r="J389" s="171">
        <f t="shared" si="394"/>
        <v>-152.9619608</v>
      </c>
      <c r="K389" s="172" t="str">
        <f t="shared" si="3"/>
        <v>ETFS Physical Gold</v>
      </c>
      <c r="L389" s="173">
        <f t="shared" si="4"/>
        <v>353</v>
      </c>
      <c r="M389" s="174">
        <f t="shared" si="5"/>
        <v>-33586.49</v>
      </c>
      <c r="N389" s="176" t="str">
        <f>IF($P389&lt;&gt;"",IF(MAXIFS(Investment!$M:$M,Investment!$H:$H,LEFT($P389,30)&amp;"*"),MAXIFS(Investment!$M:$M,Investment!$H:$H,LEFT($P389,30)&amp;"*"),),)</f>
        <v/>
      </c>
      <c r="O389" s="177" t="str">
        <f>IF($P389&lt;&gt;"",IF(MAXIFS(Investment!$AI:$AI,Investment!$H:$H,LEFT($P389,30)&amp;"*"),MAXIFS(Investment!$AI:$AI,Investment!$H:$H,LEFT($P389,30)&amp;"*"),),)</f>
        <v/>
      </c>
      <c r="P389" s="172"/>
      <c r="Q389" s="173"/>
      <c r="R389" s="171"/>
    </row>
    <row r="390">
      <c r="A390" s="165">
        <v>43385.0</v>
      </c>
      <c r="B390" s="55" t="s">
        <v>127</v>
      </c>
      <c r="C390" s="55" t="s">
        <v>128</v>
      </c>
      <c r="D390" s="55" t="s">
        <v>280</v>
      </c>
      <c r="E390" s="55">
        <v>-13.0</v>
      </c>
      <c r="F390" s="169">
        <v>160.39</v>
      </c>
      <c r="G390" s="170">
        <v>2085.07</v>
      </c>
      <c r="H390" s="55" t="s">
        <v>837</v>
      </c>
      <c r="I390" s="171">
        <f t="shared" ref="I390:J390" si="395">IFS(AND($B390&lt;&gt;"",$E390&lt;&gt;""),IF(INDEX(N:N,MATCH($C390,$P:$P,0),1)&lt;&gt;"",$E390*INDEX(N:N,MATCH($C390,$P:$P,0),1)+$G390,""),AND($B390&lt;&gt;"",$D390="COST",$G390&lt;0),$G390,TRUE,)</f>
        <v>-323.44</v>
      </c>
      <c r="J390" s="171">
        <f t="shared" si="395"/>
        <v>-213.2275294</v>
      </c>
      <c r="K390" s="172" t="str">
        <f t="shared" si="3"/>
        <v>iShares Treasury Bond 7-10 UCITS</v>
      </c>
      <c r="L390" s="173">
        <f t="shared" si="4"/>
        <v>547</v>
      </c>
      <c r="M390" s="174">
        <f t="shared" si="5"/>
        <v>-81771.76</v>
      </c>
      <c r="N390" s="176" t="str">
        <f>IF($P390&lt;&gt;"",IF(MAXIFS(Investment!$M:$M,Investment!$H:$H,LEFT($P390,30)&amp;"*"),MAXIFS(Investment!$M:$M,Investment!$H:$H,LEFT($P390,30)&amp;"*"),),)</f>
        <v/>
      </c>
      <c r="O390" s="177" t="str">
        <f>IF($P390&lt;&gt;"",IF(MAXIFS(Investment!$AI:$AI,Investment!$H:$H,LEFT($P390,30)&amp;"*"),MAXIFS(Investment!$AI:$AI,Investment!$H:$H,LEFT($P390,30)&amp;"*"),),)</f>
        <v/>
      </c>
      <c r="P390" s="172"/>
      <c r="Q390" s="173"/>
      <c r="R390" s="171"/>
    </row>
    <row r="391">
      <c r="A391" s="165">
        <v>43385.0</v>
      </c>
      <c r="B391" s="55" t="s">
        <v>118</v>
      </c>
      <c r="C391" s="55" t="s">
        <v>120</v>
      </c>
      <c r="D391" s="55" t="s">
        <v>280</v>
      </c>
      <c r="E391" s="55">
        <v>-32.0</v>
      </c>
      <c r="F391" s="169">
        <v>7.607</v>
      </c>
      <c r="G391" s="170">
        <v>243.42</v>
      </c>
      <c r="H391" s="55" t="s">
        <v>838</v>
      </c>
      <c r="I391" s="171">
        <f t="shared" ref="I391:J391" si="396">IFS(AND($B391&lt;&gt;"",$E391&lt;&gt;""),IF(INDEX(N:N,MATCH($C391,$P:$P,0),1)&lt;&gt;"",$E391*INDEX(N:N,MATCH($C391,$P:$P,0),1)+$G391,""),AND($B391&lt;&gt;"",$D391="COST",$G391&lt;0),$G391,TRUE,)</f>
        <v>7.26</v>
      </c>
      <c r="J391" s="171">
        <f t="shared" si="396"/>
        <v>11.51587451</v>
      </c>
      <c r="K391" s="172" t="str">
        <f t="shared" si="3"/>
        <v>ETFS All Commodities ETC</v>
      </c>
      <c r="L391" s="173">
        <f t="shared" si="4"/>
        <v>11745</v>
      </c>
      <c r="M391" s="174">
        <f t="shared" si="5"/>
        <v>-84366.02</v>
      </c>
      <c r="N391" s="176" t="str">
        <f>IF($P391&lt;&gt;"",IF(MAXIFS(Investment!$M:$M,Investment!$H:$H,LEFT($P391,30)&amp;"*"),MAXIFS(Investment!$M:$M,Investment!$H:$H,LEFT($P391,30)&amp;"*"),),)</f>
        <v/>
      </c>
      <c r="O391" s="177" t="str">
        <f>IF($P391&lt;&gt;"",IF(MAXIFS(Investment!$AI:$AI,Investment!$H:$H,LEFT($P391,30)&amp;"*"),MAXIFS(Investment!$AI:$AI,Investment!$H:$H,LEFT($P391,30)&amp;"*"),),)</f>
        <v/>
      </c>
      <c r="P391" s="172"/>
      <c r="Q391" s="173"/>
      <c r="R391" s="171"/>
    </row>
    <row r="392">
      <c r="A392" s="165">
        <v>43385.0</v>
      </c>
      <c r="B392" s="55" t="s">
        <v>118</v>
      </c>
      <c r="C392" s="55" t="s">
        <v>120</v>
      </c>
      <c r="D392" s="55" t="s">
        <v>301</v>
      </c>
      <c r="E392" s="55"/>
      <c r="F392" s="169"/>
      <c r="G392" s="170">
        <v>-2.05</v>
      </c>
      <c r="H392" s="55" t="s">
        <v>839</v>
      </c>
      <c r="I392" s="171">
        <f t="shared" ref="I392:J392" si="397">IFS(AND($B392&lt;&gt;"",$E392&lt;&gt;""),IF(INDEX(N:N,MATCH($C392,$P:$P,0),1)&lt;&gt;"",$E392*INDEX(N:N,MATCH($C392,$P:$P,0),1)+$G392,""),AND($B392&lt;&gt;"",$D392="COST",$G392&lt;0),$G392,TRUE,)</f>
        <v>-2.05</v>
      </c>
      <c r="J392" s="171">
        <f t="shared" si="397"/>
        <v>-2.05</v>
      </c>
      <c r="K392" s="172" t="str">
        <f t="shared" si="3"/>
        <v>ETFS All Commodities ETC</v>
      </c>
      <c r="L392" s="173">
        <f t="shared" si="4"/>
        <v>11745</v>
      </c>
      <c r="M392" s="174">
        <f t="shared" si="5"/>
        <v>-84366.02</v>
      </c>
      <c r="N392" s="176" t="str">
        <f>IF($P392&lt;&gt;"",IF(MAXIFS(Investment!$M:$M,Investment!$H:$H,LEFT($P392,30)&amp;"*"),MAXIFS(Investment!$M:$M,Investment!$H:$H,LEFT($P392,30)&amp;"*"),),)</f>
        <v/>
      </c>
      <c r="O392" s="177" t="str">
        <f>IF($P392&lt;&gt;"",IF(MAXIFS(Investment!$AI:$AI,Investment!$H:$H,LEFT($P392,30)&amp;"*"),MAXIFS(Investment!$AI:$AI,Investment!$H:$H,LEFT($P392,30)&amp;"*"),),)</f>
        <v/>
      </c>
      <c r="P392" s="172"/>
      <c r="Q392" s="173"/>
      <c r="R392" s="171"/>
    </row>
    <row r="393">
      <c r="A393" s="165">
        <v>43383.0</v>
      </c>
      <c r="B393" s="166" t="s">
        <v>138</v>
      </c>
      <c r="C393" s="167" t="s">
        <v>139</v>
      </c>
      <c r="D393" s="168" t="s">
        <v>307</v>
      </c>
      <c r="E393" s="168"/>
      <c r="F393" s="169"/>
      <c r="G393" s="170">
        <v>-136.05</v>
      </c>
      <c r="H393" s="167" t="s">
        <v>840</v>
      </c>
      <c r="I393" s="171" t="str">
        <f t="shared" ref="I393:J393" si="398">IFS(AND($B393&lt;&gt;"",$E393&lt;&gt;""),IF(INDEX(N:N,MATCH($C393,$P:$P,0),1)&lt;&gt;"",$E393*INDEX(N:N,MATCH($C393,$P:$P,0),1)+$G393,""),AND($B393&lt;&gt;"",$D393="COST",$G393&lt;0),$G393,TRUE,)</f>
        <v/>
      </c>
      <c r="J393" s="171" t="str">
        <f t="shared" si="398"/>
        <v/>
      </c>
      <c r="K393" s="172" t="str">
        <f t="shared" si="3"/>
        <v>Vanguard S&amp;P 500 UCITS</v>
      </c>
      <c r="L393" s="173">
        <f t="shared" si="4"/>
        <v>3715</v>
      </c>
      <c r="M393" s="174">
        <f t="shared" si="5"/>
        <v>-151722.66</v>
      </c>
      <c r="N393" s="176" t="str">
        <f>IF($P393&lt;&gt;"",IF(MAXIFS(Investment!$M:$M,Investment!$H:$H,LEFT($P393,30)&amp;"*"),MAXIFS(Investment!$M:$M,Investment!$H:$H,LEFT($P393,30)&amp;"*"),),)</f>
        <v/>
      </c>
      <c r="O393" s="177" t="str">
        <f>IF($P393&lt;&gt;"",IF(MAXIFS(Investment!$AI:$AI,Investment!$H:$H,LEFT($P393,30)&amp;"*"),MAXIFS(Investment!$AI:$AI,Investment!$H:$H,LEFT($P393,30)&amp;"*"),),)</f>
        <v/>
      </c>
      <c r="P393" s="172"/>
      <c r="Q393" s="173"/>
      <c r="R393" s="171"/>
    </row>
    <row r="394">
      <c r="A394" s="165">
        <v>43383.0</v>
      </c>
      <c r="B394" s="55" t="s">
        <v>138</v>
      </c>
      <c r="C394" s="55" t="s">
        <v>139</v>
      </c>
      <c r="D394" s="55" t="s">
        <v>307</v>
      </c>
      <c r="E394" s="55"/>
      <c r="F394" s="169"/>
      <c r="G394" s="170">
        <v>1024.7</v>
      </c>
      <c r="H394" s="55" t="s">
        <v>841</v>
      </c>
      <c r="I394" s="171" t="str">
        <f t="shared" ref="I394:J394" si="399">IFS(AND($B394&lt;&gt;"",$E394&lt;&gt;""),IF(INDEX(N:N,MATCH($C394,$P:$P,0),1)&lt;&gt;"",$E394*INDEX(N:N,MATCH($C394,$P:$P,0),1)+$G394,""),AND($B394&lt;&gt;"",$D394="COST",$G394&lt;0),$G394,TRUE,)</f>
        <v/>
      </c>
      <c r="J394" s="171" t="str">
        <f t="shared" si="399"/>
        <v/>
      </c>
      <c r="K394" s="172" t="str">
        <f t="shared" si="3"/>
        <v>Vanguard S&amp;P 500 UCITS</v>
      </c>
      <c r="L394" s="173">
        <f t="shared" si="4"/>
        <v>3715</v>
      </c>
      <c r="M394" s="174">
        <f t="shared" si="5"/>
        <v>-151722.66</v>
      </c>
      <c r="N394" s="176" t="str">
        <f>IF($P394&lt;&gt;"",IF(MAXIFS(Investment!$M:$M,Investment!$H:$H,LEFT($P394,30)&amp;"*"),MAXIFS(Investment!$M:$M,Investment!$H:$H,LEFT($P394,30)&amp;"*"),),)</f>
        <v/>
      </c>
      <c r="O394" s="177" t="str">
        <f>IF($P394&lt;&gt;"",IF(MAXIFS(Investment!$AI:$AI,Investment!$H:$H,LEFT($P394,30)&amp;"*"),MAXIFS(Investment!$AI:$AI,Investment!$H:$H,LEFT($P394,30)&amp;"*"),),)</f>
        <v/>
      </c>
      <c r="P394" s="172"/>
      <c r="Q394" s="173"/>
      <c r="R394" s="171"/>
    </row>
    <row r="395">
      <c r="A395" s="165">
        <v>43378.0</v>
      </c>
      <c r="B395" s="55" t="s">
        <v>122</v>
      </c>
      <c r="C395" s="55" t="s">
        <v>123</v>
      </c>
      <c r="D395" s="55" t="s">
        <v>280</v>
      </c>
      <c r="E395" s="55">
        <v>-9.0</v>
      </c>
      <c r="F395" s="169">
        <v>99.89</v>
      </c>
      <c r="G395" s="170">
        <v>899.01</v>
      </c>
      <c r="H395" s="55" t="s">
        <v>842</v>
      </c>
      <c r="I395" s="171">
        <f t="shared" ref="I395:J395" si="400">IFS(AND($B395&lt;&gt;"",$E395&lt;&gt;""),IF(INDEX(N:N,MATCH($C395,$P:$P,0),1)&lt;&gt;"",$E395*INDEX(N:N,MATCH($C395,$P:$P,0),1)+$G395,""),AND($B395&lt;&gt;"",$D395="COST",$G395&lt;0),$G395,TRUE,)</f>
        <v>-231.57</v>
      </c>
      <c r="J395" s="171">
        <f t="shared" si="400"/>
        <v>-144.1457647</v>
      </c>
      <c r="K395" s="172" t="str">
        <f t="shared" si="3"/>
        <v>ETFS Physical Gold</v>
      </c>
      <c r="L395" s="173">
        <f t="shared" si="4"/>
        <v>353</v>
      </c>
      <c r="M395" s="174">
        <f t="shared" si="5"/>
        <v>-33586.49</v>
      </c>
      <c r="N395" s="176" t="str">
        <f>IF($P395&lt;&gt;"",IF(MAXIFS(Investment!$M:$M,Investment!$H:$H,LEFT($P395,30)&amp;"*"),MAXIFS(Investment!$M:$M,Investment!$H:$H,LEFT($P395,30)&amp;"*"),),)</f>
        <v/>
      </c>
      <c r="O395" s="177" t="str">
        <f>IF($P395&lt;&gt;"",IF(MAXIFS(Investment!$AI:$AI,Investment!$H:$H,LEFT($P395,30)&amp;"*"),MAXIFS(Investment!$AI:$AI,Investment!$H:$H,LEFT($P395,30)&amp;"*"),),)</f>
        <v/>
      </c>
      <c r="P395" s="172"/>
      <c r="Q395" s="173"/>
      <c r="R395" s="171"/>
    </row>
    <row r="396">
      <c r="A396" s="165">
        <v>43377.0</v>
      </c>
      <c r="B396" s="55" t="s">
        <v>118</v>
      </c>
      <c r="C396" s="55" t="s">
        <v>120</v>
      </c>
      <c r="D396" s="55" t="s">
        <v>280</v>
      </c>
      <c r="E396" s="55">
        <v>-238.0</v>
      </c>
      <c r="F396" s="169">
        <v>7.784</v>
      </c>
      <c r="G396" s="170">
        <v>1852.59</v>
      </c>
      <c r="H396" s="55" t="s">
        <v>843</v>
      </c>
      <c r="I396" s="171">
        <f t="shared" ref="I396:J396" si="401">IFS(AND($B396&lt;&gt;"",$E396&lt;&gt;""),IF(INDEX(N:N,MATCH($C396,$P:$P,0),1)&lt;&gt;"",$E396*INDEX(N:N,MATCH($C396,$P:$P,0),1)+$G396,""),AND($B396&lt;&gt;"",$D396="COST",$G396&lt;0),$G396,TRUE,)</f>
        <v>96.15</v>
      </c>
      <c r="J396" s="171">
        <f t="shared" si="401"/>
        <v>127.8030667</v>
      </c>
      <c r="K396" s="172" t="str">
        <f t="shared" si="3"/>
        <v>ETFS All Commodities ETC</v>
      </c>
      <c r="L396" s="173">
        <f t="shared" si="4"/>
        <v>11745</v>
      </c>
      <c r="M396" s="174">
        <f t="shared" si="5"/>
        <v>-84366.02</v>
      </c>
      <c r="N396" s="176" t="str">
        <f>IF($P396&lt;&gt;"",IF(MAXIFS(Investment!$M:$M,Investment!$H:$H,LEFT($P396,30)&amp;"*"),MAXIFS(Investment!$M:$M,Investment!$H:$H,LEFT($P396,30)&amp;"*"),),)</f>
        <v/>
      </c>
      <c r="O396" s="177" t="str">
        <f>IF($P396&lt;&gt;"",IF(MAXIFS(Investment!$AI:$AI,Investment!$H:$H,LEFT($P396,30)&amp;"*"),MAXIFS(Investment!$AI:$AI,Investment!$H:$H,LEFT($P396,30)&amp;"*"),),)</f>
        <v/>
      </c>
      <c r="P396" s="172"/>
      <c r="Q396" s="173"/>
      <c r="R396" s="171"/>
    </row>
    <row r="397">
      <c r="A397" s="165">
        <v>43377.0</v>
      </c>
      <c r="B397" s="55" t="s">
        <v>127</v>
      </c>
      <c r="C397" s="55" t="s">
        <v>128</v>
      </c>
      <c r="D397" s="55" t="s">
        <v>280</v>
      </c>
      <c r="E397" s="55">
        <v>-5.0</v>
      </c>
      <c r="F397" s="169">
        <v>161.06</v>
      </c>
      <c r="G397" s="170">
        <v>805.3</v>
      </c>
      <c r="H397" s="55" t="s">
        <v>844</v>
      </c>
      <c r="I397" s="171">
        <f t="shared" ref="I397:J397" si="402">IFS(AND($B397&lt;&gt;"",$E397&lt;&gt;""),IF(INDEX(N:N,MATCH($C397,$P:$P,0),1)&lt;&gt;"",$E397*INDEX(N:N,MATCH($C397,$P:$P,0),1)+$G397,""),AND($B397&lt;&gt;"",$D397="COST",$G397&lt;0),$G397,TRUE,)</f>
        <v>-121.05</v>
      </c>
      <c r="J397" s="171">
        <f t="shared" si="402"/>
        <v>-78.66058824</v>
      </c>
      <c r="K397" s="172" t="str">
        <f t="shared" si="3"/>
        <v>iShares Treasury Bond 7-10 UCITS</v>
      </c>
      <c r="L397" s="173">
        <f t="shared" si="4"/>
        <v>547</v>
      </c>
      <c r="M397" s="174">
        <f t="shared" si="5"/>
        <v>-81771.76</v>
      </c>
      <c r="N397" s="176" t="str">
        <f>IF($P397&lt;&gt;"",IF(MAXIFS(Investment!$M:$M,Investment!$H:$H,LEFT($P397,30)&amp;"*"),MAXIFS(Investment!$M:$M,Investment!$H:$H,LEFT($P397,30)&amp;"*"),),)</f>
        <v/>
      </c>
      <c r="O397" s="177" t="str">
        <f>IF($P397&lt;&gt;"",IF(MAXIFS(Investment!$AI:$AI,Investment!$H:$H,LEFT($P397,30)&amp;"*"),MAXIFS(Investment!$AI:$AI,Investment!$H:$H,LEFT($P397,30)&amp;"*"),),)</f>
        <v/>
      </c>
      <c r="P397" s="172"/>
      <c r="Q397" s="173"/>
      <c r="R397" s="171"/>
    </row>
    <row r="398">
      <c r="A398" s="165">
        <v>43377.0</v>
      </c>
      <c r="B398" s="55" t="s">
        <v>134</v>
      </c>
      <c r="C398" s="55" t="s">
        <v>710</v>
      </c>
      <c r="D398" s="55" t="s">
        <v>301</v>
      </c>
      <c r="E398" s="55"/>
      <c r="F398" s="169"/>
      <c r="G398" s="170">
        <v>-3.76</v>
      </c>
      <c r="H398" s="55" t="s">
        <v>845</v>
      </c>
      <c r="I398" s="171">
        <f t="shared" ref="I398:J398" si="403">IFS(AND($B398&lt;&gt;"",$E398&lt;&gt;""),IF(INDEX(N:N,MATCH($C398,$P:$P,0),1)&lt;&gt;"",$E398*INDEX(N:N,MATCH($C398,$P:$P,0),1)+$G398,""),AND($B398&lt;&gt;"",$D398="COST",$G398&lt;0),$G398,TRUE,)</f>
        <v>-3.76</v>
      </c>
      <c r="J398" s="171">
        <f t="shared" si="403"/>
        <v>-3.76</v>
      </c>
      <c r="K398" s="172" t="str">
        <f t="shared" si="3"/>
        <v>iShares Treasury Bond 20+ UCITS USD Dist</v>
      </c>
      <c r="L398" s="173">
        <f t="shared" si="4"/>
        <v>0</v>
      </c>
      <c r="M398" s="174">
        <f t="shared" si="5"/>
        <v>27424.27</v>
      </c>
      <c r="N398" s="176" t="str">
        <f>IF($P398&lt;&gt;"",IF(MAXIFS(Investment!$M:$M,Investment!$H:$H,LEFT($P398,30)&amp;"*"),MAXIFS(Investment!$M:$M,Investment!$H:$H,LEFT($P398,30)&amp;"*"),),)</f>
        <v/>
      </c>
      <c r="O398" s="177" t="str">
        <f>IF($P398&lt;&gt;"",IF(MAXIFS(Investment!$AI:$AI,Investment!$H:$H,LEFT($P398,30)&amp;"*"),MAXIFS(Investment!$AI:$AI,Investment!$H:$H,LEFT($P398,30)&amp;"*"),),)</f>
        <v/>
      </c>
      <c r="P398" s="172"/>
      <c r="Q398" s="173"/>
      <c r="R398" s="171"/>
    </row>
    <row r="399">
      <c r="A399" s="165">
        <v>43377.0</v>
      </c>
      <c r="B399" s="55" t="s">
        <v>134</v>
      </c>
      <c r="C399" s="55" t="s">
        <v>710</v>
      </c>
      <c r="D399" s="55" t="s">
        <v>332</v>
      </c>
      <c r="E399" s="50">
        <v>2361.0</v>
      </c>
      <c r="F399" s="169">
        <v>3.731</v>
      </c>
      <c r="G399" s="170">
        <v>-8808.53</v>
      </c>
      <c r="H399" s="55" t="s">
        <v>846</v>
      </c>
      <c r="I399" s="171">
        <f t="shared" ref="I399:J399" si="404">IFS(AND($B399&lt;&gt;"",$E399&lt;&gt;""),IF(INDEX(N:N,MATCH($C399,$P:$P,0),1)&lt;&gt;"",$E399*INDEX(N:N,MATCH($C399,$P:$P,0),1)+$G399,""),AND($B399&lt;&gt;"",$D399="COST",$G399&lt;0),$G399,TRUE,)</f>
        <v>2089.846</v>
      </c>
      <c r="J399" s="171">
        <f t="shared" si="404"/>
        <v>1384.946303</v>
      </c>
      <c r="K399" s="172" t="str">
        <f t="shared" si="3"/>
        <v>iShares Treasury Bond 20+ UCITS USD Dist</v>
      </c>
      <c r="L399" s="173">
        <f t="shared" si="4"/>
        <v>0</v>
      </c>
      <c r="M399" s="174">
        <f t="shared" si="5"/>
        <v>27424.27</v>
      </c>
      <c r="N399" s="176" t="str">
        <f>IF($P399&lt;&gt;"",IF(MAXIFS(Investment!$M:$M,Investment!$H:$H,LEFT($P399,30)&amp;"*"),MAXIFS(Investment!$M:$M,Investment!$H:$H,LEFT($P399,30)&amp;"*"),),)</f>
        <v/>
      </c>
      <c r="O399" s="177" t="str">
        <f>IF($P399&lt;&gt;"",IF(MAXIFS(Investment!$AI:$AI,Investment!$H:$H,LEFT($P399,30)&amp;"*"),MAXIFS(Investment!$AI:$AI,Investment!$H:$H,LEFT($P399,30)&amp;"*"),),)</f>
        <v/>
      </c>
      <c r="P399" s="172"/>
      <c r="Q399" s="173"/>
      <c r="R399" s="171"/>
    </row>
    <row r="400">
      <c r="A400" s="165">
        <v>43373.0</v>
      </c>
      <c r="B400" s="166"/>
      <c r="C400" s="167"/>
      <c r="D400" s="168" t="s">
        <v>301</v>
      </c>
      <c r="E400" s="168"/>
      <c r="F400" s="169"/>
      <c r="G400" s="170">
        <v>-501.62</v>
      </c>
      <c r="H400" s="167" t="s">
        <v>847</v>
      </c>
      <c r="I400" s="171" t="str">
        <f t="shared" ref="I400:J400" si="405">IFS(AND($B400&lt;&gt;"",$E400&lt;&gt;""),IF(INDEX(N:N,MATCH($C400,$P:$P,0),1)&lt;&gt;"",$E400*INDEX(N:N,MATCH($C400,$P:$P,0),1)+$G400,""),AND($B400&lt;&gt;"",$D400="COST",$G400&lt;0),$G400,TRUE,)</f>
        <v/>
      </c>
      <c r="J400" s="171" t="str">
        <f t="shared" si="405"/>
        <v/>
      </c>
      <c r="K400" s="172" t="str">
        <f t="shared" si="3"/>
        <v/>
      </c>
      <c r="L400" s="173" t="str">
        <f t="shared" si="4"/>
        <v/>
      </c>
      <c r="M400" s="174" t="str">
        <f t="shared" si="5"/>
        <v/>
      </c>
      <c r="N400" s="176" t="str">
        <f>IF($P400&lt;&gt;"",IF(MAXIFS(Investment!$M:$M,Investment!$H:$H,LEFT($P400,30)&amp;"*"),MAXIFS(Investment!$M:$M,Investment!$H:$H,LEFT($P400,30)&amp;"*"),),)</f>
        <v/>
      </c>
      <c r="O400" s="177" t="str">
        <f>IF($P400&lt;&gt;"",IF(MAXIFS(Investment!$AI:$AI,Investment!$H:$H,LEFT($P400,30)&amp;"*"),MAXIFS(Investment!$AI:$AI,Investment!$H:$H,LEFT($P400,30)&amp;"*"),),)</f>
        <v/>
      </c>
      <c r="P400" s="172"/>
      <c r="Q400" s="173"/>
      <c r="R400" s="171"/>
    </row>
    <row r="401">
      <c r="A401" s="165">
        <v>43369.0</v>
      </c>
      <c r="B401" s="55" t="s">
        <v>138</v>
      </c>
      <c r="C401" s="55" t="s">
        <v>139</v>
      </c>
      <c r="D401" s="55" t="s">
        <v>280</v>
      </c>
      <c r="E401" s="55">
        <v>-30.0</v>
      </c>
      <c r="F401" s="169">
        <v>47.288</v>
      </c>
      <c r="G401" s="170">
        <v>1418.64</v>
      </c>
      <c r="H401" s="55" t="s">
        <v>848</v>
      </c>
      <c r="I401" s="171">
        <f t="shared" ref="I401:J401" si="406">IFS(AND($B401&lt;&gt;"",$E401&lt;&gt;""),IF(INDEX(N:N,MATCH($C401,$P:$P,0),1)&lt;&gt;"",$E401*INDEX(N:N,MATCH($C401,$P:$P,0),1)+$G401,""),AND($B401&lt;&gt;"",$D401="COST",$G401&lt;0),$G401,TRUE,)</f>
        <v>-179.91</v>
      </c>
      <c r="J401" s="171">
        <f t="shared" si="406"/>
        <v>-25.49352941</v>
      </c>
      <c r="K401" s="172" t="str">
        <f t="shared" si="3"/>
        <v>Vanguard S&amp;P 500 UCITS</v>
      </c>
      <c r="L401" s="173">
        <f t="shared" si="4"/>
        <v>3715</v>
      </c>
      <c r="M401" s="174">
        <f t="shared" si="5"/>
        <v>-151722.66</v>
      </c>
      <c r="N401" s="176" t="str">
        <f>IF($P401&lt;&gt;"",IF(MAXIFS(Investment!$M:$M,Investment!$H:$H,LEFT($P401,30)&amp;"*"),MAXIFS(Investment!$M:$M,Investment!$H:$H,LEFT($P401,30)&amp;"*"),),)</f>
        <v/>
      </c>
      <c r="O401" s="177" t="str">
        <f>IF($P401&lt;&gt;"",IF(MAXIFS(Investment!$AI:$AI,Investment!$H:$H,LEFT($P401,30)&amp;"*"),MAXIFS(Investment!$AI:$AI,Investment!$H:$H,LEFT($P401,30)&amp;"*"),),)</f>
        <v/>
      </c>
      <c r="P401" s="172"/>
      <c r="Q401" s="173"/>
      <c r="R401" s="171"/>
    </row>
    <row r="402">
      <c r="A402" s="165">
        <v>43369.0</v>
      </c>
      <c r="B402" s="55" t="s">
        <v>118</v>
      </c>
      <c r="C402" s="55" t="s">
        <v>120</v>
      </c>
      <c r="D402" s="55" t="s">
        <v>280</v>
      </c>
      <c r="E402" s="55">
        <v>-225.0</v>
      </c>
      <c r="F402" s="169">
        <v>7.373</v>
      </c>
      <c r="G402" s="170">
        <v>1658.92</v>
      </c>
      <c r="H402" s="55" t="s">
        <v>849</v>
      </c>
      <c r="I402" s="171">
        <f t="shared" ref="I402:J402" si="407">IFS(AND($B402&lt;&gt;"",$E402&lt;&gt;""),IF(INDEX(N:N,MATCH($C402,$P:$P,0),1)&lt;&gt;"",$E402*INDEX(N:N,MATCH($C402,$P:$P,0),1)+$G402,""),AND($B402&lt;&gt;"",$D402="COST",$G402&lt;0),$G402,TRUE,)</f>
        <v>-1.58</v>
      </c>
      <c r="J402" s="171">
        <f t="shared" si="407"/>
        <v>28.34411765</v>
      </c>
      <c r="K402" s="172" t="str">
        <f t="shared" si="3"/>
        <v>ETFS All Commodities ETC</v>
      </c>
      <c r="L402" s="173">
        <f t="shared" si="4"/>
        <v>11745</v>
      </c>
      <c r="M402" s="174">
        <f t="shared" si="5"/>
        <v>-84366.02</v>
      </c>
      <c r="N402" s="176" t="str">
        <f>IF($P402&lt;&gt;"",IF(MAXIFS(Investment!$M:$M,Investment!$H:$H,LEFT($P402,30)&amp;"*"),MAXIFS(Investment!$M:$M,Investment!$H:$H,LEFT($P402,30)&amp;"*"),),)</f>
        <v/>
      </c>
      <c r="O402" s="177" t="str">
        <f>IF($P402&lt;&gt;"",IF(MAXIFS(Investment!$AI:$AI,Investment!$H:$H,LEFT($P402,30)&amp;"*"),MAXIFS(Investment!$AI:$AI,Investment!$H:$H,LEFT($P402,30)&amp;"*"),),)</f>
        <v/>
      </c>
      <c r="P402" s="172"/>
      <c r="Q402" s="173"/>
      <c r="R402" s="171"/>
    </row>
    <row r="403">
      <c r="A403" s="165">
        <v>43369.0</v>
      </c>
      <c r="B403" s="55" t="s">
        <v>122</v>
      </c>
      <c r="C403" s="55" t="s">
        <v>123</v>
      </c>
      <c r="D403" s="55" t="s">
        <v>280</v>
      </c>
      <c r="E403" s="55">
        <v>-12.0</v>
      </c>
      <c r="F403" s="169">
        <v>97.53</v>
      </c>
      <c r="G403" s="170">
        <v>1170.36</v>
      </c>
      <c r="H403" s="55" t="s">
        <v>850</v>
      </c>
      <c r="I403" s="171">
        <f t="shared" ref="I403:J403" si="408">IFS(AND($B403&lt;&gt;"",$E403&lt;&gt;""),IF(INDEX(N:N,MATCH($C403,$P:$P,0),1)&lt;&gt;"",$E403*INDEX(N:N,MATCH($C403,$P:$P,0),1)+$G403,""),AND($B403&lt;&gt;"",$D403="COST",$G403&lt;0),$G403,TRUE,)</f>
        <v>-337.08</v>
      </c>
      <c r="J403" s="171">
        <f t="shared" si="408"/>
        <v>-220.5143529</v>
      </c>
      <c r="K403" s="172" t="str">
        <f t="shared" si="3"/>
        <v>ETFS Physical Gold</v>
      </c>
      <c r="L403" s="173">
        <f t="shared" si="4"/>
        <v>353</v>
      </c>
      <c r="M403" s="174">
        <f t="shared" si="5"/>
        <v>-33586.49</v>
      </c>
      <c r="N403" s="176" t="str">
        <f>IF($P403&lt;&gt;"",IF(MAXIFS(Investment!$M:$M,Investment!$H:$H,LEFT($P403,30)&amp;"*"),MAXIFS(Investment!$M:$M,Investment!$H:$H,LEFT($P403,30)&amp;"*"),),)</f>
        <v/>
      </c>
      <c r="O403" s="177" t="str">
        <f>IF($P403&lt;&gt;"",IF(MAXIFS(Investment!$AI:$AI,Investment!$H:$H,LEFT($P403,30)&amp;"*"),MAXIFS(Investment!$AI:$AI,Investment!$H:$H,LEFT($P403,30)&amp;"*"),),)</f>
        <v/>
      </c>
      <c r="P403" s="172"/>
      <c r="Q403" s="173"/>
      <c r="R403" s="171"/>
    </row>
    <row r="404">
      <c r="A404" s="165">
        <v>43367.0</v>
      </c>
      <c r="B404" s="55" t="s">
        <v>138</v>
      </c>
      <c r="C404" s="55" t="s">
        <v>139</v>
      </c>
      <c r="D404" s="55" t="s">
        <v>280</v>
      </c>
      <c r="E404" s="55">
        <v>-30.0</v>
      </c>
      <c r="F404" s="169">
        <v>47.385</v>
      </c>
      <c r="G404" s="170">
        <v>1421.55</v>
      </c>
      <c r="H404" s="55" t="s">
        <v>851</v>
      </c>
      <c r="I404" s="171">
        <f t="shared" ref="I404:J404" si="409">IFS(AND($B404&lt;&gt;"",$E404&lt;&gt;""),IF(INDEX(N:N,MATCH($C404,$P:$P,0),1)&lt;&gt;"",$E404*INDEX(N:N,MATCH($C404,$P:$P,0),1)+$G404,""),AND($B404&lt;&gt;"",$D404="COST",$G404&lt;0),$G404,TRUE,)</f>
        <v>-177</v>
      </c>
      <c r="J404" s="171">
        <f t="shared" si="409"/>
        <v>-22.58352941</v>
      </c>
      <c r="K404" s="172" t="str">
        <f t="shared" si="3"/>
        <v>Vanguard S&amp;P 500 UCITS</v>
      </c>
      <c r="L404" s="173">
        <f t="shared" si="4"/>
        <v>3715</v>
      </c>
      <c r="M404" s="174">
        <f t="shared" si="5"/>
        <v>-151722.66</v>
      </c>
      <c r="N404" s="176" t="str">
        <f>IF($P404&lt;&gt;"",IF(MAXIFS(Investment!$M:$M,Investment!$H:$H,LEFT($P404,30)&amp;"*"),MAXIFS(Investment!$M:$M,Investment!$H:$H,LEFT($P404,30)&amp;"*"),),)</f>
        <v/>
      </c>
      <c r="O404" s="177" t="str">
        <f>IF($P404&lt;&gt;"",IF(MAXIFS(Investment!$AI:$AI,Investment!$H:$H,LEFT($P404,30)&amp;"*"),MAXIFS(Investment!$AI:$AI,Investment!$H:$H,LEFT($P404,30)&amp;"*"),),)</f>
        <v/>
      </c>
      <c r="P404" s="172"/>
      <c r="Q404" s="173"/>
      <c r="R404" s="171"/>
    </row>
    <row r="405">
      <c r="A405" s="165">
        <v>43363.0</v>
      </c>
      <c r="B405" s="55" t="s">
        <v>118</v>
      </c>
      <c r="C405" s="55" t="s">
        <v>120</v>
      </c>
      <c r="D405" s="55" t="s">
        <v>280</v>
      </c>
      <c r="E405" s="55">
        <v>-250.0</v>
      </c>
      <c r="F405" s="169">
        <v>7.261</v>
      </c>
      <c r="G405" s="170">
        <v>1815.25</v>
      </c>
      <c r="H405" s="55" t="s">
        <v>852</v>
      </c>
      <c r="I405" s="171">
        <f t="shared" ref="I405:J405" si="410">IFS(AND($B405&lt;&gt;"",$E405&lt;&gt;""),IF(INDEX(N:N,MATCH($C405,$P:$P,0),1)&lt;&gt;"",$E405*INDEX(N:N,MATCH($C405,$P:$P,0),1)+$G405,""),AND($B405&lt;&gt;"",$D405="COST",$G405&lt;0),$G405,TRUE,)</f>
        <v>-29.75</v>
      </c>
      <c r="J405" s="171">
        <f t="shared" si="410"/>
        <v>3.499019608</v>
      </c>
      <c r="K405" s="172" t="str">
        <f t="shared" si="3"/>
        <v>ETFS All Commodities ETC</v>
      </c>
      <c r="L405" s="173">
        <f t="shared" si="4"/>
        <v>11745</v>
      </c>
      <c r="M405" s="174">
        <f t="shared" si="5"/>
        <v>-84366.02</v>
      </c>
      <c r="N405" s="176" t="str">
        <f>IF($P405&lt;&gt;"",IF(MAXIFS(Investment!$M:$M,Investment!$H:$H,LEFT($P405,30)&amp;"*"),MAXIFS(Investment!$M:$M,Investment!$H:$H,LEFT($P405,30)&amp;"*"),),)</f>
        <v/>
      </c>
      <c r="O405" s="177" t="str">
        <f>IF($P405&lt;&gt;"",IF(MAXIFS(Investment!$AI:$AI,Investment!$H:$H,LEFT($P405,30)&amp;"*"),MAXIFS(Investment!$AI:$AI,Investment!$H:$H,LEFT($P405,30)&amp;"*"),),)</f>
        <v/>
      </c>
      <c r="P405" s="172"/>
      <c r="Q405" s="173"/>
      <c r="R405" s="171"/>
    </row>
    <row r="406">
      <c r="A406" s="165">
        <v>43363.0</v>
      </c>
      <c r="B406" s="55" t="s">
        <v>138</v>
      </c>
      <c r="C406" s="55" t="s">
        <v>139</v>
      </c>
      <c r="D406" s="55" t="s">
        <v>280</v>
      </c>
      <c r="E406" s="55">
        <v>-45.0</v>
      </c>
      <c r="F406" s="169">
        <v>47.386</v>
      </c>
      <c r="G406" s="170">
        <v>2132.37</v>
      </c>
      <c r="H406" s="55" t="s">
        <v>853</v>
      </c>
      <c r="I406" s="171">
        <f t="shared" ref="I406:J406" si="411">IFS(AND($B406&lt;&gt;"",$E406&lt;&gt;""),IF(INDEX(N:N,MATCH($C406,$P:$P,0),1)&lt;&gt;"",$E406*INDEX(N:N,MATCH($C406,$P:$P,0),1)+$G406,""),AND($B406&lt;&gt;"",$D406="COST",$G406&lt;0),$G406,TRUE,)</f>
        <v>-265.455</v>
      </c>
      <c r="J406" s="171">
        <f t="shared" si="411"/>
        <v>-33.83029412</v>
      </c>
      <c r="K406" s="172" t="str">
        <f t="shared" si="3"/>
        <v>Vanguard S&amp;P 500 UCITS</v>
      </c>
      <c r="L406" s="173">
        <f t="shared" si="4"/>
        <v>3715</v>
      </c>
      <c r="M406" s="174">
        <f t="shared" si="5"/>
        <v>-151722.66</v>
      </c>
      <c r="N406" s="176" t="str">
        <f>IF($P406&lt;&gt;"",IF(MAXIFS(Investment!$M:$M,Investment!$H:$H,LEFT($P406,30)&amp;"*"),MAXIFS(Investment!$M:$M,Investment!$H:$H,LEFT($P406,30)&amp;"*"),),)</f>
        <v/>
      </c>
      <c r="O406" s="177" t="str">
        <f>IF($P406&lt;&gt;"",IF(MAXIFS(Investment!$AI:$AI,Investment!$H:$H,LEFT($P406,30)&amp;"*"),MAXIFS(Investment!$AI:$AI,Investment!$H:$H,LEFT($P406,30)&amp;"*"),),)</f>
        <v/>
      </c>
      <c r="P406" s="172"/>
      <c r="Q406" s="173"/>
      <c r="R406" s="171"/>
    </row>
    <row r="407">
      <c r="A407" s="165">
        <v>43363.0</v>
      </c>
      <c r="B407" s="55" t="s">
        <v>134</v>
      </c>
      <c r="C407" s="55" t="s">
        <v>710</v>
      </c>
      <c r="D407" s="55" t="s">
        <v>301</v>
      </c>
      <c r="E407" s="55"/>
      <c r="F407" s="169"/>
      <c r="G407" s="170">
        <v>-2.54</v>
      </c>
      <c r="H407" s="55" t="s">
        <v>854</v>
      </c>
      <c r="I407" s="171">
        <f t="shared" ref="I407:J407" si="412">IFS(AND($B407&lt;&gt;"",$E407&lt;&gt;""),IF(INDEX(N:N,MATCH($C407,$P:$P,0),1)&lt;&gt;"",$E407*INDEX(N:N,MATCH($C407,$P:$P,0),1)+$G407,""),AND($B407&lt;&gt;"",$D407="COST",$G407&lt;0),$G407,TRUE,)</f>
        <v>-2.54</v>
      </c>
      <c r="J407" s="171">
        <f t="shared" si="412"/>
        <v>-2.54</v>
      </c>
      <c r="K407" s="172" t="str">
        <f t="shared" si="3"/>
        <v>iShares Treasury Bond 20+ UCITS USD Dist</v>
      </c>
      <c r="L407" s="173">
        <f t="shared" si="4"/>
        <v>0</v>
      </c>
      <c r="M407" s="174">
        <f t="shared" si="5"/>
        <v>27424.27</v>
      </c>
      <c r="N407" s="176" t="str">
        <f>IF($P407&lt;&gt;"",IF(MAXIFS(Investment!$M:$M,Investment!$H:$H,LEFT($P407,30)&amp;"*"),MAXIFS(Investment!$M:$M,Investment!$H:$H,LEFT($P407,30)&amp;"*"),),)</f>
        <v/>
      </c>
      <c r="O407" s="177" t="str">
        <f>IF($P407&lt;&gt;"",IF(MAXIFS(Investment!$AI:$AI,Investment!$H:$H,LEFT($P407,30)&amp;"*"),MAXIFS(Investment!$AI:$AI,Investment!$H:$H,LEFT($P407,30)&amp;"*"),),)</f>
        <v/>
      </c>
      <c r="P407" s="172"/>
      <c r="Q407" s="173"/>
      <c r="R407" s="171"/>
    </row>
    <row r="408">
      <c r="A408" s="165">
        <v>43363.0</v>
      </c>
      <c r="B408" s="55" t="s">
        <v>134</v>
      </c>
      <c r="C408" s="55" t="s">
        <v>710</v>
      </c>
      <c r="D408" s="55" t="s">
        <v>332</v>
      </c>
      <c r="E408" s="55">
        <v>717.0</v>
      </c>
      <c r="F408" s="169">
        <v>3.757</v>
      </c>
      <c r="G408" s="170">
        <v>-2693.88</v>
      </c>
      <c r="H408" s="55" t="s">
        <v>855</v>
      </c>
      <c r="I408" s="171">
        <f t="shared" ref="I408:J408" si="413">IFS(AND($B408&lt;&gt;"",$E408&lt;&gt;""),IF(INDEX(N:N,MATCH($C408,$P:$P,0),1)&lt;&gt;"",$E408*INDEX(N:N,MATCH($C408,$P:$P,0),1)+$G408,""),AND($B408&lt;&gt;"",$D408="COST",$G408&lt;0),$G408,TRUE,)</f>
        <v>615.792</v>
      </c>
      <c r="J408" s="171">
        <f t="shared" si="413"/>
        <v>401.7246206</v>
      </c>
      <c r="K408" s="172" t="str">
        <f t="shared" si="3"/>
        <v>iShares Treasury Bond 20+ UCITS USD Dist</v>
      </c>
      <c r="L408" s="173">
        <f t="shared" si="4"/>
        <v>0</v>
      </c>
      <c r="M408" s="174">
        <f t="shared" si="5"/>
        <v>27424.27</v>
      </c>
      <c r="N408" s="176" t="str">
        <f>IF($P408&lt;&gt;"",IF(MAXIFS(Investment!$M:$M,Investment!$H:$H,LEFT($P408,30)&amp;"*"),MAXIFS(Investment!$M:$M,Investment!$H:$H,LEFT($P408,30)&amp;"*"),),)</f>
        <v/>
      </c>
      <c r="O408" s="177" t="str">
        <f>IF($P408&lt;&gt;"",IF(MAXIFS(Investment!$AI:$AI,Investment!$H:$H,LEFT($P408,30)&amp;"*"),MAXIFS(Investment!$AI:$AI,Investment!$H:$H,LEFT($P408,30)&amp;"*"),),)</f>
        <v/>
      </c>
      <c r="P408" s="172"/>
      <c r="Q408" s="173"/>
      <c r="R408" s="171"/>
    </row>
    <row r="409">
      <c r="A409" s="165">
        <v>43361.0</v>
      </c>
      <c r="B409" s="55" t="s">
        <v>134</v>
      </c>
      <c r="C409" s="55" t="s">
        <v>710</v>
      </c>
      <c r="D409" s="55" t="s">
        <v>301</v>
      </c>
      <c r="E409" s="55"/>
      <c r="F409" s="169"/>
      <c r="G409" s="170">
        <v>-2.4</v>
      </c>
      <c r="H409" s="55" t="s">
        <v>740</v>
      </c>
      <c r="I409" s="171">
        <f t="shared" ref="I409:J409" si="414">IFS(AND($B409&lt;&gt;"",$E409&lt;&gt;""),IF(INDEX(N:N,MATCH($C409,$P:$P,0),1)&lt;&gt;"",$E409*INDEX(N:N,MATCH($C409,$P:$P,0),1)+$G409,""),AND($B409&lt;&gt;"",$D409="COST",$G409&lt;0),$G409,TRUE,)</f>
        <v>-2.4</v>
      </c>
      <c r="J409" s="171">
        <f t="shared" si="414"/>
        <v>-2.4</v>
      </c>
      <c r="K409" s="172" t="str">
        <f t="shared" si="3"/>
        <v>iShares Treasury Bond 20+ UCITS USD Dist</v>
      </c>
      <c r="L409" s="173">
        <f t="shared" si="4"/>
        <v>0</v>
      </c>
      <c r="M409" s="174">
        <f t="shared" si="5"/>
        <v>27424.27</v>
      </c>
      <c r="N409" s="176" t="str">
        <f>IF($P409&lt;&gt;"",IF(MAXIFS(Investment!$M:$M,Investment!$H:$H,LEFT($P409,30)&amp;"*"),MAXIFS(Investment!$M:$M,Investment!$H:$H,LEFT($P409,30)&amp;"*"),),)</f>
        <v/>
      </c>
      <c r="O409" s="177" t="str">
        <f>IF($P409&lt;&gt;"",IF(MAXIFS(Investment!$AI:$AI,Investment!$H:$H,LEFT($P409,30)&amp;"*"),MAXIFS(Investment!$AI:$AI,Investment!$H:$H,LEFT($P409,30)&amp;"*"),),)</f>
        <v/>
      </c>
      <c r="P409" s="172"/>
      <c r="Q409" s="173"/>
      <c r="R409" s="171"/>
    </row>
    <row r="410">
      <c r="A410" s="165">
        <v>43361.0</v>
      </c>
      <c r="B410" s="55" t="s">
        <v>134</v>
      </c>
      <c r="C410" s="55" t="s">
        <v>710</v>
      </c>
      <c r="D410" s="55" t="s">
        <v>332</v>
      </c>
      <c r="E410" s="55">
        <v>525.0</v>
      </c>
      <c r="F410" s="169">
        <v>3.811</v>
      </c>
      <c r="G410" s="170">
        <v>-2000.72</v>
      </c>
      <c r="H410" s="55" t="s">
        <v>856</v>
      </c>
      <c r="I410" s="171">
        <f t="shared" ref="I410:J410" si="415">IFS(AND($B410&lt;&gt;"",$E410&lt;&gt;""),IF(INDEX(N:N,MATCH($C410,$P:$P,0),1)&lt;&gt;"",$E410*INDEX(N:N,MATCH($C410,$P:$P,0),1)+$G410,""),AND($B410&lt;&gt;"",$D410="COST",$G410&lt;0),$G410,TRUE,)</f>
        <v>422.68</v>
      </c>
      <c r="J410" s="171">
        <f t="shared" si="415"/>
        <v>265.9361029</v>
      </c>
      <c r="K410" s="172" t="str">
        <f t="shared" si="3"/>
        <v>iShares Treasury Bond 20+ UCITS USD Dist</v>
      </c>
      <c r="L410" s="173">
        <f t="shared" si="4"/>
        <v>0</v>
      </c>
      <c r="M410" s="174">
        <f t="shared" si="5"/>
        <v>27424.27</v>
      </c>
      <c r="N410" s="176" t="str">
        <f>IF($P410&lt;&gt;"",IF(MAXIFS(Investment!$M:$M,Investment!$H:$H,LEFT($P410,30)&amp;"*"),MAXIFS(Investment!$M:$M,Investment!$H:$H,LEFT($P410,30)&amp;"*"),),)</f>
        <v/>
      </c>
      <c r="O410" s="177" t="str">
        <f>IF($P410&lt;&gt;"",IF(MAXIFS(Investment!$AI:$AI,Investment!$H:$H,LEFT($P410,30)&amp;"*"),MAXIFS(Investment!$AI:$AI,Investment!$H:$H,LEFT($P410,30)&amp;"*"),),)</f>
        <v/>
      </c>
      <c r="P410" s="172"/>
      <c r="Q410" s="173"/>
      <c r="R410" s="171"/>
    </row>
    <row r="411">
      <c r="A411" s="165">
        <v>43357.0</v>
      </c>
      <c r="B411" s="55"/>
      <c r="C411" s="55"/>
      <c r="D411" s="55" t="s">
        <v>299</v>
      </c>
      <c r="E411" s="55"/>
      <c r="F411" s="169"/>
      <c r="G411" s="170">
        <v>440.0</v>
      </c>
      <c r="H411" s="55" t="s">
        <v>857</v>
      </c>
      <c r="I411" s="171" t="str">
        <f t="shared" ref="I411:J411" si="416">IFS(AND($B411&lt;&gt;"",$E411&lt;&gt;""),IF(INDEX(N:N,MATCH($C411,$P:$P,0),1)&lt;&gt;"",$E411*INDEX(N:N,MATCH($C411,$P:$P,0),1)+$G411,""),AND($B411&lt;&gt;"",$D411="COST",$G411&lt;0),$G411,TRUE,)</f>
        <v/>
      </c>
      <c r="J411" s="171" t="str">
        <f t="shared" si="416"/>
        <v/>
      </c>
      <c r="K411" s="172" t="str">
        <f t="shared" si="3"/>
        <v/>
      </c>
      <c r="L411" s="173" t="str">
        <f t="shared" si="4"/>
        <v/>
      </c>
      <c r="M411" s="174" t="str">
        <f t="shared" si="5"/>
        <v/>
      </c>
      <c r="N411" s="176" t="str">
        <f>IF($P411&lt;&gt;"",IF(MAXIFS(Investment!$M:$M,Investment!$H:$H,LEFT($P411,30)&amp;"*"),MAXIFS(Investment!$M:$M,Investment!$H:$H,LEFT($P411,30)&amp;"*"),),)</f>
        <v/>
      </c>
      <c r="O411" s="177" t="str">
        <f>IF($P411&lt;&gt;"",IF(MAXIFS(Investment!$AI:$AI,Investment!$H:$H,LEFT($P411,30)&amp;"*"),MAXIFS(Investment!$AI:$AI,Investment!$H:$H,LEFT($P411,30)&amp;"*"),),)</f>
        <v/>
      </c>
      <c r="P411" s="172"/>
      <c r="Q411" s="173"/>
      <c r="R411" s="171"/>
    </row>
    <row r="412">
      <c r="A412" s="165">
        <v>43354.0</v>
      </c>
      <c r="B412" s="55"/>
      <c r="C412" s="55"/>
      <c r="D412" s="55" t="s">
        <v>299</v>
      </c>
      <c r="E412" s="55"/>
      <c r="F412" s="169"/>
      <c r="G412" s="170">
        <v>-500.0</v>
      </c>
      <c r="H412" s="55" t="s">
        <v>620</v>
      </c>
      <c r="I412" s="171" t="str">
        <f t="shared" ref="I412:J412" si="417">IFS(AND($B412&lt;&gt;"",$E412&lt;&gt;""),IF(INDEX(N:N,MATCH($C412,$P:$P,0),1)&lt;&gt;"",$E412*INDEX(N:N,MATCH($C412,$P:$P,0),1)+$G412,""),AND($B412&lt;&gt;"",$D412="COST",$G412&lt;0),$G412,TRUE,)</f>
        <v/>
      </c>
      <c r="J412" s="171" t="str">
        <f t="shared" si="417"/>
        <v/>
      </c>
      <c r="K412" s="172" t="str">
        <f t="shared" si="3"/>
        <v/>
      </c>
      <c r="L412" s="173" t="str">
        <f t="shared" si="4"/>
        <v/>
      </c>
      <c r="M412" s="174" t="str">
        <f t="shared" si="5"/>
        <v/>
      </c>
      <c r="N412" s="176" t="str">
        <f>IF($P412&lt;&gt;"",IF(MAXIFS(Investment!$M:$M,Investment!$H:$H,LEFT($P412,30)&amp;"*"),MAXIFS(Investment!$M:$M,Investment!$H:$H,LEFT($P412,30)&amp;"*"),),)</f>
        <v/>
      </c>
      <c r="O412" s="177" t="str">
        <f>IF($P412&lt;&gt;"",IF(MAXIFS(Investment!$AI:$AI,Investment!$H:$H,LEFT($P412,30)&amp;"*"),MAXIFS(Investment!$AI:$AI,Investment!$H:$H,LEFT($P412,30)&amp;"*"),),)</f>
        <v/>
      </c>
      <c r="P412" s="172"/>
      <c r="Q412" s="173"/>
      <c r="R412" s="171"/>
    </row>
    <row r="413">
      <c r="A413" s="165">
        <v>43349.0</v>
      </c>
      <c r="B413" s="55" t="s">
        <v>134</v>
      </c>
      <c r="C413" s="55" t="s">
        <v>710</v>
      </c>
      <c r="D413" s="55" t="s">
        <v>301</v>
      </c>
      <c r="E413" s="55"/>
      <c r="F413" s="169"/>
      <c r="G413" s="170">
        <v>-2.26</v>
      </c>
      <c r="H413" s="55" t="s">
        <v>648</v>
      </c>
      <c r="I413" s="171">
        <f t="shared" ref="I413:J413" si="418">IFS(AND($B413&lt;&gt;"",$E413&lt;&gt;""),IF(INDEX(N:N,MATCH($C413,$P:$P,0),1)&lt;&gt;"",$E413*INDEX(N:N,MATCH($C413,$P:$P,0),1)+$G413,""),AND($B413&lt;&gt;"",$D413="COST",$G413&lt;0),$G413,TRUE,)</f>
        <v>-2.26</v>
      </c>
      <c r="J413" s="171">
        <f t="shared" si="418"/>
        <v>-2.26</v>
      </c>
      <c r="K413" s="172" t="str">
        <f t="shared" si="3"/>
        <v>iShares Treasury Bond 20+ UCITS USD Dist</v>
      </c>
      <c r="L413" s="173">
        <f t="shared" si="4"/>
        <v>0</v>
      </c>
      <c r="M413" s="174">
        <f t="shared" si="5"/>
        <v>27424.27</v>
      </c>
      <c r="N413" s="176" t="str">
        <f>IF($P413&lt;&gt;"",IF(MAXIFS(Investment!$M:$M,Investment!$H:$H,LEFT($P413,30)&amp;"*"),MAXIFS(Investment!$M:$M,Investment!$H:$H,LEFT($P413,30)&amp;"*"),),)</f>
        <v/>
      </c>
      <c r="O413" s="177" t="str">
        <f>IF($P413&lt;&gt;"",IF(MAXIFS(Investment!$AI:$AI,Investment!$H:$H,LEFT($P413,30)&amp;"*"),MAXIFS(Investment!$AI:$AI,Investment!$H:$H,LEFT($P413,30)&amp;"*"),),)</f>
        <v/>
      </c>
      <c r="P413" s="172"/>
      <c r="Q413" s="173"/>
      <c r="R413" s="171"/>
    </row>
    <row r="414">
      <c r="A414" s="165">
        <v>43349.0</v>
      </c>
      <c r="B414" s="55" t="s">
        <v>134</v>
      </c>
      <c r="C414" s="55" t="s">
        <v>710</v>
      </c>
      <c r="D414" s="55" t="s">
        <v>332</v>
      </c>
      <c r="E414" s="55">
        <v>336.0</v>
      </c>
      <c r="F414" s="169">
        <v>3.874</v>
      </c>
      <c r="G414" s="170">
        <v>-1301.59</v>
      </c>
      <c r="H414" s="55" t="s">
        <v>858</v>
      </c>
      <c r="I414" s="171">
        <f t="shared" ref="I414:J414" si="419">IFS(AND($B414&lt;&gt;"",$E414&lt;&gt;""),IF(INDEX(N:N,MATCH($C414,$P:$P,0),1)&lt;&gt;"",$E414*INDEX(N:N,MATCH($C414,$P:$P,0),1)+$G414,""),AND($B414&lt;&gt;"",$D414="COST",$G414&lt;0),$G414,TRUE,)</f>
        <v>249.386</v>
      </c>
      <c r="J414" s="171">
        <f t="shared" si="419"/>
        <v>149.0699059</v>
      </c>
      <c r="K414" s="172" t="str">
        <f t="shared" si="3"/>
        <v>iShares Treasury Bond 20+ UCITS USD Dist</v>
      </c>
      <c r="L414" s="173">
        <f t="shared" si="4"/>
        <v>0</v>
      </c>
      <c r="M414" s="174">
        <f t="shared" si="5"/>
        <v>27424.27</v>
      </c>
      <c r="N414" s="176" t="str">
        <f>IF($P414&lt;&gt;"",IF(MAXIFS(Investment!$M:$M,Investment!$H:$H,LEFT($P414,30)&amp;"*"),MAXIFS(Investment!$M:$M,Investment!$H:$H,LEFT($P414,30)&amp;"*"),),)</f>
        <v/>
      </c>
      <c r="O414" s="177" t="str">
        <f>IF($P414&lt;&gt;"",IF(MAXIFS(Investment!$AI:$AI,Investment!$H:$H,LEFT($P414,30)&amp;"*"),MAXIFS(Investment!$AI:$AI,Investment!$H:$H,LEFT($P414,30)&amp;"*"),),)</f>
        <v/>
      </c>
      <c r="P414" s="172"/>
      <c r="Q414" s="173"/>
      <c r="R414" s="171"/>
    </row>
    <row r="415">
      <c r="A415" s="165">
        <v>43349.0</v>
      </c>
      <c r="B415" s="166" t="s">
        <v>134</v>
      </c>
      <c r="C415" s="167" t="s">
        <v>137</v>
      </c>
      <c r="D415" s="168" t="s">
        <v>307</v>
      </c>
      <c r="E415" s="168"/>
      <c r="F415" s="169"/>
      <c r="G415" s="170">
        <v>-12.85</v>
      </c>
      <c r="H415" s="167" t="s">
        <v>859</v>
      </c>
      <c r="I415" s="171" t="str">
        <f t="shared" ref="I415:J415" si="420">IFS(AND($B415&lt;&gt;"",$E415&lt;&gt;""),IF(INDEX(N:N,MATCH($C415,$P:$P,0),1)&lt;&gt;"",$E415*INDEX(N:N,MATCH($C415,$P:$P,0),1)+$G415,""),AND($B415&lt;&gt;"",$D415="COST",$G415&lt;0),$G415,TRUE,)</f>
        <v/>
      </c>
      <c r="J415" s="171" t="str">
        <f t="shared" si="420"/>
        <v/>
      </c>
      <c r="K415" s="172" t="str">
        <f t="shared" si="3"/>
        <v>Vanguard Extended Duration Treasury ETF</v>
      </c>
      <c r="L415" s="173">
        <f t="shared" si="4"/>
        <v>0</v>
      </c>
      <c r="M415" s="174">
        <f t="shared" si="5"/>
        <v>-4857.35</v>
      </c>
      <c r="N415" s="176" t="str">
        <f>IF($P415&lt;&gt;"",IF(MAXIFS(Investment!$M:$M,Investment!$H:$H,LEFT($P415,30)&amp;"*"),MAXIFS(Investment!$M:$M,Investment!$H:$H,LEFT($P415,30)&amp;"*"),),)</f>
        <v/>
      </c>
      <c r="O415" s="177" t="str">
        <f>IF($P415&lt;&gt;"",IF(MAXIFS(Investment!$AI:$AI,Investment!$H:$H,LEFT($P415,30)&amp;"*"),MAXIFS(Investment!$AI:$AI,Investment!$H:$H,LEFT($P415,30)&amp;"*"),),)</f>
        <v/>
      </c>
      <c r="P415" s="172"/>
      <c r="Q415" s="173"/>
      <c r="R415" s="171"/>
    </row>
    <row r="416">
      <c r="A416" s="165">
        <v>43343.0</v>
      </c>
      <c r="B416" s="166"/>
      <c r="C416" s="167"/>
      <c r="D416" s="168" t="s">
        <v>301</v>
      </c>
      <c r="E416" s="168"/>
      <c r="F416" s="169"/>
      <c r="G416" s="170">
        <v>-573.99</v>
      </c>
      <c r="H416" s="167" t="s">
        <v>860</v>
      </c>
      <c r="I416" s="171" t="str">
        <f t="shared" ref="I416:J416" si="421">IFS(AND($B416&lt;&gt;"",$E416&lt;&gt;""),IF(INDEX(N:N,MATCH($C416,$P:$P,0),1)&lt;&gt;"",$E416*INDEX(N:N,MATCH($C416,$P:$P,0),1)+$G416,""),AND($B416&lt;&gt;"",$D416="COST",$G416&lt;0),$G416,TRUE,)</f>
        <v/>
      </c>
      <c r="J416" s="171" t="str">
        <f t="shared" si="421"/>
        <v/>
      </c>
      <c r="K416" s="172" t="str">
        <f t="shared" si="3"/>
        <v/>
      </c>
      <c r="L416" s="173" t="str">
        <f t="shared" si="4"/>
        <v/>
      </c>
      <c r="M416" s="174" t="str">
        <f t="shared" si="5"/>
        <v/>
      </c>
      <c r="N416" s="176" t="str">
        <f>IF($P416&lt;&gt;"",IF(MAXIFS(Investment!$M:$M,Investment!$H:$H,LEFT($P416,30)&amp;"*"),MAXIFS(Investment!$M:$M,Investment!$H:$H,LEFT($P416,30)&amp;"*"),),)</f>
        <v/>
      </c>
      <c r="O416" s="177" t="str">
        <f>IF($P416&lt;&gt;"",IF(MAXIFS(Investment!$AI:$AI,Investment!$H:$H,LEFT($P416,30)&amp;"*"),MAXIFS(Investment!$AI:$AI,Investment!$H:$H,LEFT($P416,30)&amp;"*"),),)</f>
        <v/>
      </c>
      <c r="P416" s="172"/>
      <c r="Q416" s="173"/>
      <c r="R416" s="171"/>
    </row>
    <row r="417">
      <c r="A417" s="165">
        <v>43342.0</v>
      </c>
      <c r="B417" s="55" t="s">
        <v>122</v>
      </c>
      <c r="C417" s="55" t="s">
        <v>123</v>
      </c>
      <c r="D417" s="55" t="s">
        <v>332</v>
      </c>
      <c r="E417" s="55">
        <v>12.0</v>
      </c>
      <c r="F417" s="169">
        <v>98.34</v>
      </c>
      <c r="G417" s="170">
        <v>-1180.08</v>
      </c>
      <c r="H417" s="55" t="s">
        <v>861</v>
      </c>
      <c r="I417" s="171">
        <f t="shared" ref="I417:J417" si="422">IFS(AND($B417&lt;&gt;"",$E417&lt;&gt;""),IF(INDEX(N:N,MATCH($C417,$P:$P,0),1)&lt;&gt;"",$E417*INDEX(N:N,MATCH($C417,$P:$P,0),1)+$G417,""),AND($B417&lt;&gt;"",$D417="COST",$G417&lt;0),$G417,TRUE,)</f>
        <v>327.36</v>
      </c>
      <c r="J417" s="171">
        <f t="shared" si="422"/>
        <v>210.7943529</v>
      </c>
      <c r="K417" s="172" t="str">
        <f t="shared" si="3"/>
        <v>ETFS Physical Gold</v>
      </c>
      <c r="L417" s="173">
        <f t="shared" si="4"/>
        <v>353</v>
      </c>
      <c r="M417" s="174">
        <f t="shared" si="5"/>
        <v>-33586.49</v>
      </c>
      <c r="N417" s="176" t="str">
        <f>IF($P417&lt;&gt;"",IF(MAXIFS(Investment!$M:$M,Investment!$H:$H,LEFT($P417,30)&amp;"*"),MAXIFS(Investment!$M:$M,Investment!$H:$H,LEFT($P417,30)&amp;"*"),),)</f>
        <v/>
      </c>
      <c r="O417" s="177" t="str">
        <f>IF($P417&lt;&gt;"",IF(MAXIFS(Investment!$AI:$AI,Investment!$H:$H,LEFT($P417,30)&amp;"*"),MAXIFS(Investment!$AI:$AI,Investment!$H:$H,LEFT($P417,30)&amp;"*"),),)</f>
        <v/>
      </c>
      <c r="P417" s="172"/>
      <c r="Q417" s="173"/>
      <c r="R417" s="171"/>
    </row>
    <row r="418">
      <c r="A418" s="165">
        <v>43341.0</v>
      </c>
      <c r="B418" s="55" t="s">
        <v>118</v>
      </c>
      <c r="C418" s="55" t="s">
        <v>120</v>
      </c>
      <c r="D418" s="55" t="s">
        <v>332</v>
      </c>
      <c r="E418" s="55">
        <v>305.0</v>
      </c>
      <c r="F418" s="169">
        <v>7.26</v>
      </c>
      <c r="G418" s="170">
        <v>-2214.3</v>
      </c>
      <c r="H418" s="55" t="s">
        <v>862</v>
      </c>
      <c r="I418" s="171">
        <f t="shared" ref="I418:J418" si="423">IFS(AND($B418&lt;&gt;"",$E418&lt;&gt;""),IF(INDEX(N:N,MATCH($C418,$P:$P,0),1)&lt;&gt;"",$E418*INDEX(N:N,MATCH($C418,$P:$P,0),1)+$G418,""),AND($B418&lt;&gt;"",$D418="COST",$G418&lt;0),$G418,TRUE,)</f>
        <v>36.6</v>
      </c>
      <c r="J418" s="171">
        <f t="shared" si="423"/>
        <v>-3.963803922</v>
      </c>
      <c r="K418" s="172" t="str">
        <f t="shared" si="3"/>
        <v>ETFS All Commodities ETC</v>
      </c>
      <c r="L418" s="173">
        <f t="shared" si="4"/>
        <v>11745</v>
      </c>
      <c r="M418" s="174">
        <f t="shared" si="5"/>
        <v>-84366.02</v>
      </c>
      <c r="N418" s="176" t="str">
        <f>IF($P418&lt;&gt;"",IF(MAXIFS(Investment!$M:$M,Investment!$H:$H,LEFT($P418,30)&amp;"*"),MAXIFS(Investment!$M:$M,Investment!$H:$H,LEFT($P418,30)&amp;"*"),),)</f>
        <v/>
      </c>
      <c r="O418" s="177" t="str">
        <f>IF($P418&lt;&gt;"",IF(MAXIFS(Investment!$AI:$AI,Investment!$H:$H,LEFT($P418,30)&amp;"*"),MAXIFS(Investment!$AI:$AI,Investment!$H:$H,LEFT($P418,30)&amp;"*"),),)</f>
        <v/>
      </c>
      <c r="P418" s="172"/>
      <c r="Q418" s="173"/>
      <c r="R418" s="171"/>
    </row>
    <row r="419">
      <c r="A419" s="165">
        <v>43341.0</v>
      </c>
      <c r="B419" s="55" t="s">
        <v>127</v>
      </c>
      <c r="C419" s="55" t="s">
        <v>128</v>
      </c>
      <c r="D419" s="55" t="s">
        <v>332</v>
      </c>
      <c r="E419" s="55">
        <v>8.0</v>
      </c>
      <c r="F419" s="169">
        <v>162.34</v>
      </c>
      <c r="G419" s="170">
        <v>-1298.72</v>
      </c>
      <c r="H419" s="55" t="s">
        <v>863</v>
      </c>
      <c r="I419" s="171">
        <f t="shared" ref="I419:J419" si="424">IFS(AND($B419&lt;&gt;"",$E419&lt;&gt;""),IF(INDEX(N:N,MATCH($C419,$P:$P,0),1)&lt;&gt;"",$E419*INDEX(N:N,MATCH($C419,$P:$P,0),1)+$G419,""),AND($B419&lt;&gt;"",$D419="COST",$G419&lt;0),$G419,TRUE,)</f>
        <v>183.44</v>
      </c>
      <c r="J419" s="171">
        <f t="shared" si="424"/>
        <v>115.6169412</v>
      </c>
      <c r="K419" s="172" t="str">
        <f t="shared" si="3"/>
        <v>iShares Treasury Bond 7-10 UCITS</v>
      </c>
      <c r="L419" s="173">
        <f t="shared" si="4"/>
        <v>547</v>
      </c>
      <c r="M419" s="174">
        <f t="shared" si="5"/>
        <v>-81771.76</v>
      </c>
      <c r="N419" s="176" t="str">
        <f>IF($P419&lt;&gt;"",IF(MAXIFS(Investment!$M:$M,Investment!$H:$H,LEFT($P419,30)&amp;"*"),MAXIFS(Investment!$M:$M,Investment!$H:$H,LEFT($P419,30)&amp;"*"),),)</f>
        <v/>
      </c>
      <c r="O419" s="177" t="str">
        <f>IF($P419&lt;&gt;"",IF(MAXIFS(Investment!$AI:$AI,Investment!$H:$H,LEFT($P419,30)&amp;"*"),MAXIFS(Investment!$AI:$AI,Investment!$H:$H,LEFT($P419,30)&amp;"*"),),)</f>
        <v/>
      </c>
      <c r="P419" s="172"/>
      <c r="Q419" s="173"/>
      <c r="R419" s="171"/>
    </row>
    <row r="420">
      <c r="A420" s="165">
        <v>43341.0</v>
      </c>
      <c r="B420" s="55" t="s">
        <v>134</v>
      </c>
      <c r="C420" s="55" t="s">
        <v>710</v>
      </c>
      <c r="D420" s="55" t="s">
        <v>301</v>
      </c>
      <c r="E420" s="55"/>
      <c r="F420" s="169"/>
      <c r="G420" s="170">
        <v>-2.39</v>
      </c>
      <c r="H420" s="55" t="s">
        <v>864</v>
      </c>
      <c r="I420" s="171">
        <f t="shared" ref="I420:J420" si="425">IFS(AND($B420&lt;&gt;"",$E420&lt;&gt;""),IF(INDEX(N:N,MATCH($C420,$P:$P,0),1)&lt;&gt;"",$E420*INDEX(N:N,MATCH($C420,$P:$P,0),1)+$G420,""),AND($B420&lt;&gt;"",$D420="COST",$G420&lt;0),$G420,TRUE,)</f>
        <v>-2.39</v>
      </c>
      <c r="J420" s="171">
        <f t="shared" si="425"/>
        <v>-2.39</v>
      </c>
      <c r="K420" s="172" t="str">
        <f t="shared" si="3"/>
        <v>iShares Treasury Bond 20+ UCITS USD Dist</v>
      </c>
      <c r="L420" s="173">
        <f t="shared" si="4"/>
        <v>0</v>
      </c>
      <c r="M420" s="174">
        <f t="shared" si="5"/>
        <v>27424.27</v>
      </c>
      <c r="N420" s="176" t="str">
        <f>IF($P420&lt;&gt;"",IF(MAXIFS(Investment!$M:$M,Investment!$H:$H,LEFT($P420,30)&amp;"*"),MAXIFS(Investment!$M:$M,Investment!$H:$H,LEFT($P420,30)&amp;"*"),),)</f>
        <v/>
      </c>
      <c r="O420" s="177" t="str">
        <f>IF($P420&lt;&gt;"",IF(MAXIFS(Investment!$AI:$AI,Investment!$H:$H,LEFT($P420,30)&amp;"*"),MAXIFS(Investment!$AI:$AI,Investment!$H:$H,LEFT($P420,30)&amp;"*"),),)</f>
        <v/>
      </c>
      <c r="P420" s="172"/>
      <c r="Q420" s="173"/>
      <c r="R420" s="171"/>
    </row>
    <row r="421">
      <c r="A421" s="165">
        <v>43341.0</v>
      </c>
      <c r="B421" s="55" t="s">
        <v>134</v>
      </c>
      <c r="C421" s="55" t="s">
        <v>710</v>
      </c>
      <c r="D421" s="55" t="s">
        <v>332</v>
      </c>
      <c r="E421" s="55">
        <v>500.0</v>
      </c>
      <c r="F421" s="169">
        <v>3.891</v>
      </c>
      <c r="G421" s="170">
        <v>-1945.61</v>
      </c>
      <c r="H421" s="55" t="s">
        <v>865</v>
      </c>
      <c r="I421" s="171">
        <f t="shared" ref="I421:J421" si="426">IFS(AND($B421&lt;&gt;"",$E421&lt;&gt;""),IF(INDEX(N:N,MATCH($C421,$P:$P,0),1)&lt;&gt;"",$E421*INDEX(N:N,MATCH($C421,$P:$P,0),1)+$G421,""),AND($B421&lt;&gt;"",$D421="COST",$G421&lt;0),$G421,TRUE,)</f>
        <v>362.39</v>
      </c>
      <c r="J421" s="171">
        <f t="shared" si="426"/>
        <v>213.110098</v>
      </c>
      <c r="K421" s="172" t="str">
        <f t="shared" si="3"/>
        <v>iShares Treasury Bond 20+ UCITS USD Dist</v>
      </c>
      <c r="L421" s="173">
        <f t="shared" si="4"/>
        <v>0</v>
      </c>
      <c r="M421" s="174">
        <f t="shared" si="5"/>
        <v>27424.27</v>
      </c>
      <c r="N421" s="176" t="str">
        <f>IF($P421&lt;&gt;"",IF(MAXIFS(Investment!$M:$M,Investment!$H:$H,LEFT($P421,30)&amp;"*"),MAXIFS(Investment!$M:$M,Investment!$H:$H,LEFT($P421,30)&amp;"*"),),)</f>
        <v/>
      </c>
      <c r="O421" s="177" t="str">
        <f>IF($P421&lt;&gt;"",IF(MAXIFS(Investment!$AI:$AI,Investment!$H:$H,LEFT($P421,30)&amp;"*"),MAXIFS(Investment!$AI:$AI,Investment!$H:$H,LEFT($P421,30)&amp;"*"),),)</f>
        <v/>
      </c>
      <c r="P421" s="172"/>
      <c r="Q421" s="173"/>
      <c r="R421" s="171"/>
    </row>
    <row r="422">
      <c r="A422" s="165">
        <v>43341.0</v>
      </c>
      <c r="B422" s="55" t="s">
        <v>134</v>
      </c>
      <c r="C422" s="55" t="s">
        <v>710</v>
      </c>
      <c r="D422" s="55" t="s">
        <v>301</v>
      </c>
      <c r="E422" s="55"/>
      <c r="F422" s="169"/>
      <c r="G422" s="170">
        <v>-3.15</v>
      </c>
      <c r="H422" s="55" t="s">
        <v>866</v>
      </c>
      <c r="I422" s="171">
        <f t="shared" ref="I422:J422" si="427">IFS(AND($B422&lt;&gt;"",$E422&lt;&gt;""),IF(INDEX(N:N,MATCH($C422,$P:$P,0),1)&lt;&gt;"",$E422*INDEX(N:N,MATCH($C422,$P:$P,0),1)+$G422,""),AND($B422&lt;&gt;"",$D422="COST",$G422&lt;0),$G422,TRUE,)</f>
        <v>-3.15</v>
      </c>
      <c r="J422" s="171">
        <f t="shared" si="427"/>
        <v>-3.15</v>
      </c>
      <c r="K422" s="172" t="str">
        <f t="shared" si="3"/>
        <v>iShares Treasury Bond 20+ UCITS USD Dist</v>
      </c>
      <c r="L422" s="173">
        <f t="shared" si="4"/>
        <v>0</v>
      </c>
      <c r="M422" s="174">
        <f t="shared" si="5"/>
        <v>27424.27</v>
      </c>
      <c r="N422" s="176" t="str">
        <f>IF($P422&lt;&gt;"",IF(MAXIFS(Investment!$M:$M,Investment!$H:$H,LEFT($P422,30)&amp;"*"),MAXIFS(Investment!$M:$M,Investment!$H:$H,LEFT($P422,30)&amp;"*"),),)</f>
        <v/>
      </c>
      <c r="O422" s="177" t="str">
        <f>IF($P422&lt;&gt;"",IF(MAXIFS(Investment!$AI:$AI,Investment!$H:$H,LEFT($P422,30)&amp;"*"),MAXIFS(Investment!$AI:$AI,Investment!$H:$H,LEFT($P422,30)&amp;"*"),),)</f>
        <v/>
      </c>
      <c r="P422" s="172"/>
      <c r="Q422" s="173"/>
      <c r="R422" s="171"/>
    </row>
    <row r="423">
      <c r="A423" s="165">
        <v>43341.0</v>
      </c>
      <c r="B423" s="55" t="s">
        <v>134</v>
      </c>
      <c r="C423" s="55" t="s">
        <v>710</v>
      </c>
      <c r="D423" s="55" t="s">
        <v>332</v>
      </c>
      <c r="E423" s="50">
        <v>1478.0</v>
      </c>
      <c r="F423" s="169">
        <v>3.885</v>
      </c>
      <c r="G423" s="170">
        <v>-5742.57</v>
      </c>
      <c r="H423" s="55" t="s">
        <v>867</v>
      </c>
      <c r="I423" s="171">
        <f t="shared" ref="I423:J423" si="428">IFS(AND($B423&lt;&gt;"",$E423&lt;&gt;""),IF(INDEX(N:N,MATCH($C423,$P:$P,0),1)&lt;&gt;"",$E423*INDEX(N:N,MATCH($C423,$P:$P,0),1)+$G423,""),AND($B423&lt;&gt;"",$D423="COST",$G423&lt;0),$G423,TRUE,)</f>
        <v>1079.878</v>
      </c>
      <c r="J423" s="171">
        <f t="shared" si="428"/>
        <v>638.6066098</v>
      </c>
      <c r="K423" s="172" t="str">
        <f t="shared" si="3"/>
        <v>iShares Treasury Bond 20+ UCITS USD Dist</v>
      </c>
      <c r="L423" s="173">
        <f t="shared" si="4"/>
        <v>0</v>
      </c>
      <c r="M423" s="174">
        <f t="shared" si="5"/>
        <v>27424.27</v>
      </c>
      <c r="N423" s="176" t="str">
        <f>IF($P423&lt;&gt;"",IF(MAXIFS(Investment!$M:$M,Investment!$H:$H,LEFT($P423,30)&amp;"*"),MAXIFS(Investment!$M:$M,Investment!$H:$H,LEFT($P423,30)&amp;"*"),),)</f>
        <v/>
      </c>
      <c r="O423" s="177" t="str">
        <f>IF($P423&lt;&gt;"",IF(MAXIFS(Investment!$AI:$AI,Investment!$H:$H,LEFT($P423,30)&amp;"*"),MAXIFS(Investment!$AI:$AI,Investment!$H:$H,LEFT($P423,30)&amp;"*"),),)</f>
        <v/>
      </c>
      <c r="P423" s="172"/>
      <c r="Q423" s="173"/>
      <c r="R423" s="171"/>
    </row>
    <row r="424">
      <c r="A424" s="165">
        <v>43341.0</v>
      </c>
      <c r="B424" s="55" t="s">
        <v>127</v>
      </c>
      <c r="C424" s="55" t="s">
        <v>128</v>
      </c>
      <c r="D424" s="55" t="s">
        <v>332</v>
      </c>
      <c r="E424" s="55">
        <v>8.0</v>
      </c>
      <c r="F424" s="169">
        <v>162.14</v>
      </c>
      <c r="G424" s="170">
        <v>-1297.12</v>
      </c>
      <c r="H424" s="55" t="s">
        <v>868</v>
      </c>
      <c r="I424" s="171">
        <f t="shared" ref="I424:J424" si="429">IFS(AND($B424&lt;&gt;"",$E424&lt;&gt;""),IF(INDEX(N:N,MATCH($C424,$P:$P,0),1)&lt;&gt;"",$E424*INDEX(N:N,MATCH($C424,$P:$P,0),1)+$G424,""),AND($B424&lt;&gt;"",$D424="COST",$G424&lt;0),$G424,TRUE,)</f>
        <v>185.04</v>
      </c>
      <c r="J424" s="171">
        <f t="shared" si="429"/>
        <v>117.2169412</v>
      </c>
      <c r="K424" s="172" t="str">
        <f t="shared" si="3"/>
        <v>iShares Treasury Bond 7-10 UCITS</v>
      </c>
      <c r="L424" s="173">
        <f t="shared" si="4"/>
        <v>547</v>
      </c>
      <c r="M424" s="174">
        <f t="shared" si="5"/>
        <v>-81771.76</v>
      </c>
      <c r="N424" s="176" t="str">
        <f>IF($P424&lt;&gt;"",IF(MAXIFS(Investment!$M:$M,Investment!$H:$H,LEFT($P424,30)&amp;"*"),MAXIFS(Investment!$M:$M,Investment!$H:$H,LEFT($P424,30)&amp;"*"),),)</f>
        <v/>
      </c>
      <c r="O424" s="177" t="str">
        <f>IF($P424&lt;&gt;"",IF(MAXIFS(Investment!$AI:$AI,Investment!$H:$H,LEFT($P424,30)&amp;"*"),MAXIFS(Investment!$AI:$AI,Investment!$H:$H,LEFT($P424,30)&amp;"*"),),)</f>
        <v/>
      </c>
      <c r="P424" s="172"/>
      <c r="Q424" s="173"/>
      <c r="R424" s="171"/>
    </row>
    <row r="425">
      <c r="A425" s="165">
        <v>43340.0</v>
      </c>
      <c r="B425" s="166" t="s">
        <v>134</v>
      </c>
      <c r="C425" s="167" t="s">
        <v>710</v>
      </c>
      <c r="D425" s="168" t="s">
        <v>301</v>
      </c>
      <c r="E425" s="168"/>
      <c r="F425" s="169"/>
      <c r="G425" s="170">
        <v>-2.25</v>
      </c>
      <c r="H425" s="167" t="s">
        <v>662</v>
      </c>
      <c r="I425" s="171">
        <f t="shared" ref="I425:J425" si="430">IFS(AND($B425&lt;&gt;"",$E425&lt;&gt;""),IF(INDEX(N:N,MATCH($C425,$P:$P,0),1)&lt;&gt;"",$E425*INDEX(N:N,MATCH($C425,$P:$P,0),1)+$G425,""),AND($B425&lt;&gt;"",$D425="COST",$G425&lt;0),$G425,TRUE,)</f>
        <v>-2.25</v>
      </c>
      <c r="J425" s="171">
        <f t="shared" si="430"/>
        <v>-2.25</v>
      </c>
      <c r="K425" s="172" t="str">
        <f t="shared" si="3"/>
        <v>iShares Treasury Bond 20+ UCITS USD Dist</v>
      </c>
      <c r="L425" s="173">
        <f t="shared" si="4"/>
        <v>0</v>
      </c>
      <c r="M425" s="174">
        <f t="shared" si="5"/>
        <v>27424.27</v>
      </c>
      <c r="N425" s="176" t="str">
        <f>IF($P425&lt;&gt;"",IF(MAXIFS(Investment!$M:$M,Investment!$H:$H,LEFT($P425,30)&amp;"*"),MAXIFS(Investment!$M:$M,Investment!$H:$H,LEFT($P425,30)&amp;"*"),),)</f>
        <v/>
      </c>
      <c r="O425" s="177" t="str">
        <f>IF($P425&lt;&gt;"",IF(MAXIFS(Investment!$AI:$AI,Investment!$H:$H,LEFT($P425,30)&amp;"*"),MAXIFS(Investment!$AI:$AI,Investment!$H:$H,LEFT($P425,30)&amp;"*"),),)</f>
        <v/>
      </c>
      <c r="P425" s="172"/>
      <c r="Q425" s="173"/>
      <c r="R425" s="171"/>
    </row>
    <row r="426">
      <c r="A426" s="165">
        <v>43340.0</v>
      </c>
      <c r="B426" s="166" t="s">
        <v>134</v>
      </c>
      <c r="C426" s="167" t="s">
        <v>710</v>
      </c>
      <c r="D426" s="168" t="s">
        <v>332</v>
      </c>
      <c r="E426" s="168">
        <v>1154.0</v>
      </c>
      <c r="F426" s="169">
        <v>3.9</v>
      </c>
      <c r="G426" s="170">
        <v>-4501.07</v>
      </c>
      <c r="H426" s="167" t="s">
        <v>869</v>
      </c>
      <c r="I426" s="171">
        <f t="shared" ref="I426:J426" si="431">IFS(AND($B426&lt;&gt;"",$E426&lt;&gt;""),IF(INDEX(N:N,MATCH($C426,$P:$P,0),1)&lt;&gt;"",$E426*INDEX(N:N,MATCH($C426,$P:$P,0),1)+$G426,""),AND($B426&lt;&gt;"",$D426="COST",$G426&lt;0),$G426,TRUE,)</f>
        <v>825.794</v>
      </c>
      <c r="J426" s="171">
        <f t="shared" si="431"/>
        <v>481.2559863</v>
      </c>
      <c r="K426" s="172" t="str">
        <f t="shared" si="3"/>
        <v>iShares Treasury Bond 20+ UCITS USD Dist</v>
      </c>
      <c r="L426" s="173">
        <f t="shared" si="4"/>
        <v>0</v>
      </c>
      <c r="M426" s="174">
        <f t="shared" si="5"/>
        <v>27424.27</v>
      </c>
      <c r="N426" s="176" t="str">
        <f>IF($P426&lt;&gt;"",IF(MAXIFS(Investment!$M:$M,Investment!$H:$H,LEFT($P426,30)&amp;"*"),MAXIFS(Investment!$M:$M,Investment!$H:$H,LEFT($P426,30)&amp;"*"),),)</f>
        <v/>
      </c>
      <c r="O426" s="177" t="str">
        <f>IF($P426&lt;&gt;"",IF(MAXIFS(Investment!$AI:$AI,Investment!$H:$H,LEFT($P426,30)&amp;"*"),MAXIFS(Investment!$AI:$AI,Investment!$H:$H,LEFT($P426,30)&amp;"*"),),)</f>
        <v/>
      </c>
      <c r="P426" s="172"/>
      <c r="Q426" s="173"/>
      <c r="R426" s="171"/>
    </row>
    <row r="427">
      <c r="A427" s="165">
        <v>43339.0</v>
      </c>
      <c r="B427" s="55" t="s">
        <v>138</v>
      </c>
      <c r="C427" s="55" t="s">
        <v>139</v>
      </c>
      <c r="D427" s="55" t="s">
        <v>332</v>
      </c>
      <c r="E427" s="55">
        <v>84.0</v>
      </c>
      <c r="F427" s="169">
        <v>47.252</v>
      </c>
      <c r="G427" s="170">
        <v>-3969.17</v>
      </c>
      <c r="H427" s="55" t="s">
        <v>870</v>
      </c>
      <c r="I427" s="171">
        <f t="shared" ref="I427:J427" si="432">IFS(AND($B427&lt;&gt;"",$E427&lt;&gt;""),IF(INDEX(N:N,MATCH($C427,$P:$P,0),1)&lt;&gt;"",$E427*INDEX(N:N,MATCH($C427,$P:$P,0),1)+$G427,""),AND($B427&lt;&gt;"",$D427="COST",$G427&lt;0),$G427,TRUE,)</f>
        <v>506.77</v>
      </c>
      <c r="J427" s="171">
        <f t="shared" si="432"/>
        <v>74.40388235</v>
      </c>
      <c r="K427" s="172" t="str">
        <f t="shared" si="3"/>
        <v>Vanguard S&amp;P 500 UCITS</v>
      </c>
      <c r="L427" s="173">
        <f t="shared" si="4"/>
        <v>3715</v>
      </c>
      <c r="M427" s="174">
        <f t="shared" si="5"/>
        <v>-151722.66</v>
      </c>
      <c r="N427" s="176" t="str">
        <f>IF($P427&lt;&gt;"",IF(MAXIFS(Investment!$M:$M,Investment!$H:$H,LEFT($P427,30)&amp;"*"),MAXIFS(Investment!$M:$M,Investment!$H:$H,LEFT($P427,30)&amp;"*"),),)</f>
        <v/>
      </c>
      <c r="O427" s="177" t="str">
        <f>IF($P427&lt;&gt;"",IF(MAXIFS(Investment!$AI:$AI,Investment!$H:$H,LEFT($P427,30)&amp;"*"),MAXIFS(Investment!$AI:$AI,Investment!$H:$H,LEFT($P427,30)&amp;"*"),),)</f>
        <v/>
      </c>
      <c r="P427" s="172"/>
      <c r="Q427" s="173"/>
      <c r="R427" s="171"/>
    </row>
    <row r="428">
      <c r="A428" s="165">
        <v>43339.0</v>
      </c>
      <c r="B428" s="55" t="s">
        <v>118</v>
      </c>
      <c r="C428" s="55" t="s">
        <v>120</v>
      </c>
      <c r="D428" s="55" t="s">
        <v>332</v>
      </c>
      <c r="E428" s="55">
        <v>443.0</v>
      </c>
      <c r="F428" s="169">
        <v>7.358</v>
      </c>
      <c r="G428" s="170">
        <v>-3259.59</v>
      </c>
      <c r="H428" s="55" t="s">
        <v>871</v>
      </c>
      <c r="I428" s="171">
        <f t="shared" ref="I428:J428" si="433">IFS(AND($B428&lt;&gt;"",$E428&lt;&gt;""),IF(INDEX(N:N,MATCH($C428,$P:$P,0),1)&lt;&gt;"",$E428*INDEX(N:N,MATCH($C428,$P:$P,0),1)+$G428,""),AND($B428&lt;&gt;"",$D428="COST",$G428&lt;0),$G428,TRUE,)</f>
        <v>9.75</v>
      </c>
      <c r="J428" s="171">
        <f t="shared" si="433"/>
        <v>-49.16726275</v>
      </c>
      <c r="K428" s="172" t="str">
        <f t="shared" si="3"/>
        <v>ETFS All Commodities ETC</v>
      </c>
      <c r="L428" s="173">
        <f t="shared" si="4"/>
        <v>11745</v>
      </c>
      <c r="M428" s="174">
        <f t="shared" si="5"/>
        <v>-84366.02</v>
      </c>
      <c r="N428" s="176" t="str">
        <f>IF($P428&lt;&gt;"",IF(MAXIFS(Investment!$M:$M,Investment!$H:$H,LEFT($P428,30)&amp;"*"),MAXIFS(Investment!$M:$M,Investment!$H:$H,LEFT($P428,30)&amp;"*"),),)</f>
        <v/>
      </c>
      <c r="O428" s="177" t="str">
        <f>IF($P428&lt;&gt;"",IF(MAXIFS(Investment!$AI:$AI,Investment!$H:$H,LEFT($P428,30)&amp;"*"),MAXIFS(Investment!$AI:$AI,Investment!$H:$H,LEFT($P428,30)&amp;"*"),),)</f>
        <v/>
      </c>
      <c r="P428" s="172"/>
      <c r="Q428" s="173"/>
      <c r="R428" s="171"/>
    </row>
    <row r="429">
      <c r="A429" s="165">
        <v>43339.0</v>
      </c>
      <c r="B429" s="55" t="s">
        <v>127</v>
      </c>
      <c r="C429" s="55" t="s">
        <v>128</v>
      </c>
      <c r="D429" s="55" t="s">
        <v>332</v>
      </c>
      <c r="E429" s="55">
        <v>19.0</v>
      </c>
      <c r="F429" s="169">
        <v>163.99</v>
      </c>
      <c r="G429" s="170">
        <v>-3115.81</v>
      </c>
      <c r="H429" s="55" t="s">
        <v>872</v>
      </c>
      <c r="I429" s="171">
        <f t="shared" ref="I429:J429" si="434">IFS(AND($B429&lt;&gt;"",$E429&lt;&gt;""),IF(INDEX(N:N,MATCH($C429,$P:$P,0),1)&lt;&gt;"",$E429*INDEX(N:N,MATCH($C429,$P:$P,0),1)+$G429,""),AND($B429&lt;&gt;"",$D429="COST",$G429&lt;0),$G429,TRUE,)</f>
        <v>404.32</v>
      </c>
      <c r="J429" s="171">
        <f t="shared" si="434"/>
        <v>243.2402353</v>
      </c>
      <c r="K429" s="172" t="str">
        <f t="shared" si="3"/>
        <v>iShares Treasury Bond 7-10 UCITS</v>
      </c>
      <c r="L429" s="173">
        <f t="shared" si="4"/>
        <v>547</v>
      </c>
      <c r="M429" s="174">
        <f t="shared" si="5"/>
        <v>-81771.76</v>
      </c>
      <c r="N429" s="176" t="str">
        <f>IF($P429&lt;&gt;"",IF(MAXIFS(Investment!$M:$M,Investment!$H:$H,LEFT($P429,30)&amp;"*"),MAXIFS(Investment!$M:$M,Investment!$H:$H,LEFT($P429,30)&amp;"*"),),)</f>
        <v/>
      </c>
      <c r="O429" s="177" t="str">
        <f>IF($P429&lt;&gt;"",IF(MAXIFS(Investment!$AI:$AI,Investment!$H:$H,LEFT($P429,30)&amp;"*"),MAXIFS(Investment!$AI:$AI,Investment!$H:$H,LEFT($P429,30)&amp;"*"),),)</f>
        <v/>
      </c>
      <c r="P429" s="172"/>
      <c r="Q429" s="173"/>
      <c r="R429" s="171"/>
    </row>
    <row r="430">
      <c r="A430" s="165">
        <v>43339.0</v>
      </c>
      <c r="B430" s="55" t="s">
        <v>122</v>
      </c>
      <c r="C430" s="55" t="s">
        <v>123</v>
      </c>
      <c r="D430" s="55" t="s">
        <v>332</v>
      </c>
      <c r="E430" s="55">
        <v>31.0</v>
      </c>
      <c r="F430" s="169">
        <v>99.36</v>
      </c>
      <c r="G430" s="170">
        <v>-3080.16</v>
      </c>
      <c r="H430" s="55" t="s">
        <v>873</v>
      </c>
      <c r="I430" s="171">
        <f t="shared" ref="I430:J430" si="435">IFS(AND($B430&lt;&gt;"",$E430&lt;&gt;""),IF(INDEX(N:N,MATCH($C430,$P:$P,0),1)&lt;&gt;"",$E430*INDEX(N:N,MATCH($C430,$P:$P,0),1)+$G430,""),AND($B430&lt;&gt;"",$D430="COST",$G430&lt;0),$G430,TRUE,)</f>
        <v>814.06</v>
      </c>
      <c r="J430" s="171">
        <f t="shared" si="435"/>
        <v>512.9320784</v>
      </c>
      <c r="K430" s="172" t="str">
        <f t="shared" si="3"/>
        <v>ETFS Physical Gold</v>
      </c>
      <c r="L430" s="173">
        <f t="shared" si="4"/>
        <v>353</v>
      </c>
      <c r="M430" s="174">
        <f t="shared" si="5"/>
        <v>-33586.49</v>
      </c>
      <c r="N430" s="176" t="str">
        <f>IF($P430&lt;&gt;"",IF(MAXIFS(Investment!$M:$M,Investment!$H:$H,LEFT($P430,30)&amp;"*"),MAXIFS(Investment!$M:$M,Investment!$H:$H,LEFT($P430,30)&amp;"*"),),)</f>
        <v/>
      </c>
      <c r="O430" s="177" t="str">
        <f>IF($P430&lt;&gt;"",IF(MAXIFS(Investment!$AI:$AI,Investment!$H:$H,LEFT($P430,30)&amp;"*"),MAXIFS(Investment!$AI:$AI,Investment!$H:$H,LEFT($P430,30)&amp;"*"),),)</f>
        <v/>
      </c>
      <c r="P430" s="172"/>
      <c r="Q430" s="173"/>
      <c r="R430" s="171"/>
    </row>
    <row r="431">
      <c r="A431" s="165">
        <v>43312.0</v>
      </c>
      <c r="B431" s="166" t="s">
        <v>134</v>
      </c>
      <c r="C431" s="167" t="s">
        <v>710</v>
      </c>
      <c r="D431" s="168" t="s">
        <v>301</v>
      </c>
      <c r="E431" s="168"/>
      <c r="F431" s="169"/>
      <c r="G431" s="170">
        <v>-4.46</v>
      </c>
      <c r="H431" s="167" t="s">
        <v>874</v>
      </c>
      <c r="I431" s="171">
        <f t="shared" ref="I431:J431" si="436">IFS(AND($B431&lt;&gt;"",$E431&lt;&gt;""),IF(INDEX(N:N,MATCH($C431,$P:$P,0),1)&lt;&gt;"",$E431*INDEX(N:N,MATCH($C431,$P:$P,0),1)+$G431,""),AND($B431&lt;&gt;"",$D431="COST",$G431&lt;0),$G431,TRUE,)</f>
        <v>-4.46</v>
      </c>
      <c r="J431" s="171">
        <f t="shared" si="436"/>
        <v>-4.46</v>
      </c>
      <c r="K431" s="172" t="str">
        <f t="shared" si="3"/>
        <v>iShares Treasury Bond 20+ UCITS USD Dist</v>
      </c>
      <c r="L431" s="173">
        <f t="shared" si="4"/>
        <v>0</v>
      </c>
      <c r="M431" s="174">
        <f t="shared" si="5"/>
        <v>27424.27</v>
      </c>
      <c r="N431" s="176" t="str">
        <f>IF($P431&lt;&gt;"",IF(MAXIFS(Investment!$M:$M,Investment!$H:$H,LEFT($P431,30)&amp;"*"),MAXIFS(Investment!$M:$M,Investment!$H:$H,LEFT($P431,30)&amp;"*"),),)</f>
        <v/>
      </c>
      <c r="O431" s="177" t="str">
        <f>IF($P431&lt;&gt;"",IF(MAXIFS(Investment!$AI:$AI,Investment!$H:$H,LEFT($P431,30)&amp;"*"),MAXIFS(Investment!$AI:$AI,Investment!$H:$H,LEFT($P431,30)&amp;"*"),),)</f>
        <v/>
      </c>
      <c r="P431" s="172"/>
      <c r="Q431" s="173"/>
      <c r="R431" s="171"/>
    </row>
    <row r="432">
      <c r="A432" s="165">
        <v>43312.0</v>
      </c>
      <c r="B432" s="166" t="s">
        <v>134</v>
      </c>
      <c r="C432" s="167" t="s">
        <v>710</v>
      </c>
      <c r="D432" s="168" t="s">
        <v>332</v>
      </c>
      <c r="E432" s="168">
        <v>4074.0</v>
      </c>
      <c r="F432" s="169">
        <v>3.83</v>
      </c>
      <c r="G432" s="170">
        <v>-15602.16</v>
      </c>
      <c r="H432" s="167" t="s">
        <v>875</v>
      </c>
      <c r="I432" s="171">
        <f t="shared" ref="I432:J432" si="437">IFS(AND($B432&lt;&gt;"",$E432&lt;&gt;""),IF(INDEX(N:N,MATCH($C432,$P:$P,0),1)&lt;&gt;"",$E432*INDEX(N:N,MATCH($C432,$P:$P,0),1)+$G432,""),AND($B432&lt;&gt;"",$D432="COST",$G432&lt;0),$G432,TRUE,)</f>
        <v>3203.424</v>
      </c>
      <c r="J432" s="171">
        <f t="shared" si="437"/>
        <v>1987.091359</v>
      </c>
      <c r="K432" s="172" t="str">
        <f t="shared" si="3"/>
        <v>iShares Treasury Bond 20+ UCITS USD Dist</v>
      </c>
      <c r="L432" s="173">
        <f t="shared" si="4"/>
        <v>0</v>
      </c>
      <c r="M432" s="174">
        <f t="shared" si="5"/>
        <v>27424.27</v>
      </c>
      <c r="N432" s="176" t="str">
        <f>IF($P432&lt;&gt;"",IF(MAXIFS(Investment!$M:$M,Investment!$H:$H,LEFT($P432,30)&amp;"*"),MAXIFS(Investment!$M:$M,Investment!$H:$H,LEFT($P432,30)&amp;"*"),),)</f>
        <v/>
      </c>
      <c r="O432" s="177" t="str">
        <f>IF($P432&lt;&gt;"",IF(MAXIFS(Investment!$AI:$AI,Investment!$H:$H,LEFT($P432,30)&amp;"*"),MAXIFS(Investment!$AI:$AI,Investment!$H:$H,LEFT($P432,30)&amp;"*"),),)</f>
        <v/>
      </c>
      <c r="P432" s="172"/>
      <c r="Q432" s="173"/>
      <c r="R432" s="171"/>
    </row>
    <row r="433">
      <c r="A433" s="165">
        <v>43312.0</v>
      </c>
      <c r="B433" s="166"/>
      <c r="C433" s="167"/>
      <c r="D433" s="168" t="s">
        <v>301</v>
      </c>
      <c r="E433" s="168"/>
      <c r="F433" s="169"/>
      <c r="G433" s="170">
        <v>-467.55</v>
      </c>
      <c r="H433" s="167" t="s">
        <v>876</v>
      </c>
      <c r="I433" s="171" t="str">
        <f t="shared" ref="I433:J433" si="438">IFS(AND($B433&lt;&gt;"",$E433&lt;&gt;""),IF(INDEX(N:N,MATCH($C433,$P:$P,0),1)&lt;&gt;"",$E433*INDEX(N:N,MATCH($C433,$P:$P,0),1)+$G433,""),AND($B433&lt;&gt;"",$D433="COST",$G433&lt;0),$G433,TRUE,)</f>
        <v/>
      </c>
      <c r="J433" s="171" t="str">
        <f t="shared" si="438"/>
        <v/>
      </c>
      <c r="K433" s="172" t="str">
        <f t="shared" si="3"/>
        <v/>
      </c>
      <c r="L433" s="173" t="str">
        <f t="shared" si="4"/>
        <v/>
      </c>
      <c r="M433" s="174" t="str">
        <f t="shared" si="5"/>
        <v/>
      </c>
      <c r="N433" s="176" t="str">
        <f>IF($P433&lt;&gt;"",IF(MAXIFS(Investment!$M:$M,Investment!$H:$H,LEFT($P433,30)&amp;"*"),MAXIFS(Investment!$M:$M,Investment!$H:$H,LEFT($P433,30)&amp;"*"),),)</f>
        <v/>
      </c>
      <c r="O433" s="177" t="str">
        <f>IF($P433&lt;&gt;"",IF(MAXIFS(Investment!$AI:$AI,Investment!$H:$H,LEFT($P433,30)&amp;"*"),MAXIFS(Investment!$AI:$AI,Investment!$H:$H,LEFT($P433,30)&amp;"*"),),)</f>
        <v/>
      </c>
      <c r="P433" s="172"/>
      <c r="Q433" s="173"/>
      <c r="R433" s="171"/>
    </row>
    <row r="434">
      <c r="A434" s="165">
        <v>43312.0</v>
      </c>
      <c r="B434" s="55" t="s">
        <v>138</v>
      </c>
      <c r="C434" s="55" t="s">
        <v>139</v>
      </c>
      <c r="D434" s="55" t="s">
        <v>332</v>
      </c>
      <c r="E434" s="55">
        <v>226.0</v>
      </c>
      <c r="F434" s="169">
        <v>45.477</v>
      </c>
      <c r="G434" s="170">
        <v>-10277.8</v>
      </c>
      <c r="H434" s="55" t="s">
        <v>877</v>
      </c>
      <c r="I434" s="171">
        <f t="shared" ref="I434:J434" si="439">IFS(AND($B434&lt;&gt;"",$E434&lt;&gt;""),IF(INDEX(N:N,MATCH($C434,$P:$P,0),1)&lt;&gt;"",$E434*INDEX(N:N,MATCH($C434,$P:$P,0),1)+$G434,""),AND($B434&lt;&gt;"",$D434="COST",$G434&lt;0),$G434,TRUE,)</f>
        <v>1764.61</v>
      </c>
      <c r="J434" s="171">
        <f t="shared" si="439"/>
        <v>601.3392549</v>
      </c>
      <c r="K434" s="172" t="str">
        <f t="shared" si="3"/>
        <v>Vanguard S&amp;P 500 UCITS</v>
      </c>
      <c r="L434" s="173">
        <f t="shared" si="4"/>
        <v>3715</v>
      </c>
      <c r="M434" s="174">
        <f t="shared" si="5"/>
        <v>-151722.66</v>
      </c>
      <c r="N434" s="176" t="str">
        <f>IF($P434&lt;&gt;"",IF(MAXIFS(Investment!$M:$M,Investment!$H:$H,LEFT($P434,30)&amp;"*"),MAXIFS(Investment!$M:$M,Investment!$H:$H,LEFT($P434,30)&amp;"*"),),)</f>
        <v/>
      </c>
      <c r="O434" s="177" t="str">
        <f>IF($P434&lt;&gt;"",IF(MAXIFS(Investment!$AI:$AI,Investment!$H:$H,LEFT($P434,30)&amp;"*"),MAXIFS(Investment!$AI:$AI,Investment!$H:$H,LEFT($P434,30)&amp;"*"),),)</f>
        <v/>
      </c>
      <c r="P434" s="172"/>
      <c r="Q434" s="173"/>
      <c r="R434" s="171"/>
    </row>
    <row r="435">
      <c r="A435" s="165">
        <v>43312.0</v>
      </c>
      <c r="B435" s="55" t="s">
        <v>118</v>
      </c>
      <c r="C435" s="55" t="s">
        <v>120</v>
      </c>
      <c r="D435" s="55" t="s">
        <v>332</v>
      </c>
      <c r="E435" s="55">
        <v>203.0</v>
      </c>
      <c r="F435" s="169">
        <v>7.404</v>
      </c>
      <c r="G435" s="170">
        <v>-1503.01</v>
      </c>
      <c r="H435" s="55" t="s">
        <v>878</v>
      </c>
      <c r="I435" s="171">
        <f t="shared" ref="I435:J435" si="440">IFS(AND($B435&lt;&gt;"",$E435&lt;&gt;""),IF(INDEX(N:N,MATCH($C435,$P:$P,0),1)&lt;&gt;"",$E435*INDEX(N:N,MATCH($C435,$P:$P,0),1)+$G435,""),AND($B435&lt;&gt;"",$D435="COST",$G435&lt;0),$G435,TRUE,)</f>
        <v>-4.87</v>
      </c>
      <c r="J435" s="171">
        <f t="shared" si="440"/>
        <v>-31.86820392</v>
      </c>
      <c r="K435" s="172" t="str">
        <f t="shared" si="3"/>
        <v>ETFS All Commodities ETC</v>
      </c>
      <c r="L435" s="173">
        <f t="shared" si="4"/>
        <v>11745</v>
      </c>
      <c r="M435" s="174">
        <f t="shared" si="5"/>
        <v>-84366.02</v>
      </c>
      <c r="N435" s="176" t="str">
        <f>IF($P435&lt;&gt;"",IF(MAXIFS(Investment!$M:$M,Investment!$H:$H,LEFT($P435,30)&amp;"*"),MAXIFS(Investment!$M:$M,Investment!$H:$H,LEFT($P435,30)&amp;"*"),),)</f>
        <v/>
      </c>
      <c r="O435" s="177" t="str">
        <f>IF($P435&lt;&gt;"",IF(MAXIFS(Investment!$AI:$AI,Investment!$H:$H,LEFT($P435,30)&amp;"*"),MAXIFS(Investment!$AI:$AI,Investment!$H:$H,LEFT($P435,30)&amp;"*"),),)</f>
        <v/>
      </c>
      <c r="P435" s="172"/>
      <c r="Q435" s="173"/>
      <c r="R435" s="171"/>
    </row>
    <row r="436">
      <c r="A436" s="165">
        <v>43312.0</v>
      </c>
      <c r="B436" s="55" t="s">
        <v>127</v>
      </c>
      <c r="C436" s="55" t="s">
        <v>128</v>
      </c>
      <c r="D436" s="55" t="s">
        <v>332</v>
      </c>
      <c r="E436" s="55">
        <v>36.0</v>
      </c>
      <c r="F436" s="169">
        <v>160.27</v>
      </c>
      <c r="G436" s="170">
        <v>-5769.72</v>
      </c>
      <c r="H436" s="55" t="s">
        <v>879</v>
      </c>
      <c r="I436" s="171">
        <f t="shared" ref="I436:J436" si="441">IFS(AND($B436&lt;&gt;"",$E436&lt;&gt;""),IF(INDEX(N:N,MATCH($C436,$P:$P,0),1)&lt;&gt;"",$E436*INDEX(N:N,MATCH($C436,$P:$P,0),1)+$G436,""),AND($B436&lt;&gt;"",$D436="COST",$G436&lt;0),$G436,TRUE,)</f>
        <v>900</v>
      </c>
      <c r="J436" s="171">
        <f t="shared" si="441"/>
        <v>594.7962353</v>
      </c>
      <c r="K436" s="172" t="str">
        <f t="shared" si="3"/>
        <v>iShares Treasury Bond 7-10 UCITS</v>
      </c>
      <c r="L436" s="173">
        <f t="shared" si="4"/>
        <v>547</v>
      </c>
      <c r="M436" s="174">
        <f t="shared" si="5"/>
        <v>-81771.76</v>
      </c>
      <c r="N436" s="176" t="str">
        <f>IF($P436&lt;&gt;"",IF(MAXIFS(Investment!$M:$M,Investment!$H:$H,LEFT($P436,30)&amp;"*"),MAXIFS(Investment!$M:$M,Investment!$H:$H,LEFT($P436,30)&amp;"*"),),)</f>
        <v/>
      </c>
      <c r="O436" s="177" t="str">
        <f>IF($P436&lt;&gt;"",IF(MAXIFS(Investment!$AI:$AI,Investment!$H:$H,LEFT($P436,30)&amp;"*"),MAXIFS(Investment!$AI:$AI,Investment!$H:$H,LEFT($P436,30)&amp;"*"),),)</f>
        <v/>
      </c>
      <c r="P436" s="172"/>
      <c r="Q436" s="173"/>
      <c r="R436" s="171"/>
    </row>
    <row r="437">
      <c r="A437" s="165">
        <v>43312.0</v>
      </c>
      <c r="B437" s="55" t="s">
        <v>122</v>
      </c>
      <c r="C437" s="55" t="s">
        <v>123</v>
      </c>
      <c r="D437" s="55" t="s">
        <v>332</v>
      </c>
      <c r="E437" s="55">
        <v>29.0</v>
      </c>
      <c r="F437" s="169">
        <v>99.77</v>
      </c>
      <c r="G437" s="170">
        <v>-2893.33</v>
      </c>
      <c r="H437" s="55" t="s">
        <v>880</v>
      </c>
      <c r="I437" s="171">
        <f t="shared" ref="I437:J437" si="442">IFS(AND($B437&lt;&gt;"",$E437&lt;&gt;""),IF(INDEX(N:N,MATCH($C437,$P:$P,0),1)&lt;&gt;"",$E437*INDEX(N:N,MATCH($C437,$P:$P,0),1)+$G437,""),AND($B437&lt;&gt;"",$D437="COST",$G437&lt;0),$G437,TRUE,)</f>
        <v>749.65</v>
      </c>
      <c r="J437" s="171">
        <f t="shared" si="442"/>
        <v>467.9496863</v>
      </c>
      <c r="K437" s="172" t="str">
        <f t="shared" si="3"/>
        <v>ETFS Physical Gold</v>
      </c>
      <c r="L437" s="173">
        <f t="shared" si="4"/>
        <v>353</v>
      </c>
      <c r="M437" s="174">
        <f t="shared" si="5"/>
        <v>-33586.49</v>
      </c>
      <c r="N437" s="176" t="str">
        <f>IF($P437&lt;&gt;"",IF(MAXIFS(Investment!$M:$M,Investment!$H:$H,LEFT($P437,30)&amp;"*"),MAXIFS(Investment!$M:$M,Investment!$H:$H,LEFT($P437,30)&amp;"*"),),)</f>
        <v/>
      </c>
      <c r="O437" s="177" t="str">
        <f>IF($P437&lt;&gt;"",IF(MAXIFS(Investment!$AI:$AI,Investment!$H:$H,LEFT($P437,30)&amp;"*"),MAXIFS(Investment!$AI:$AI,Investment!$H:$H,LEFT($P437,30)&amp;"*"),),)</f>
        <v/>
      </c>
      <c r="P437" s="172"/>
      <c r="Q437" s="173"/>
      <c r="R437" s="171"/>
    </row>
    <row r="438">
      <c r="A438" s="165">
        <v>43304.0</v>
      </c>
      <c r="B438" s="55" t="s">
        <v>134</v>
      </c>
      <c r="C438" s="55" t="s">
        <v>710</v>
      </c>
      <c r="D438" s="55" t="s">
        <v>301</v>
      </c>
      <c r="E438" s="50"/>
      <c r="F438" s="169"/>
      <c r="G438" s="170">
        <v>-25.99</v>
      </c>
      <c r="H438" s="55" t="s">
        <v>881</v>
      </c>
      <c r="I438" s="171">
        <f t="shared" ref="I438:J438" si="443">IFS(AND($B438&lt;&gt;"",$E438&lt;&gt;""),IF(INDEX(N:N,MATCH($C438,$P:$P,0),1)&lt;&gt;"",$E438*INDEX(N:N,MATCH($C438,$P:$P,0),1)+$G438,""),AND($B438&lt;&gt;"",$D438="COST",$G438&lt;0),$G438,TRUE,)</f>
        <v>-25.99</v>
      </c>
      <c r="J438" s="171">
        <f t="shared" si="443"/>
        <v>-25.99</v>
      </c>
      <c r="K438" s="172" t="str">
        <f t="shared" si="3"/>
        <v>iShares Treasury Bond 20+ UCITS USD Dist</v>
      </c>
      <c r="L438" s="173">
        <f t="shared" si="4"/>
        <v>0</v>
      </c>
      <c r="M438" s="174">
        <f t="shared" si="5"/>
        <v>27424.27</v>
      </c>
      <c r="N438" s="176" t="str">
        <f>IF($P438&lt;&gt;"",IF(MAXIFS(Investment!$M:$M,Investment!$H:$H,LEFT($P438,30)&amp;"*"),MAXIFS(Investment!$M:$M,Investment!$H:$H,LEFT($P438,30)&amp;"*"),),)</f>
        <v/>
      </c>
      <c r="O438" s="177" t="str">
        <f>IF($P438&lt;&gt;"",IF(MAXIFS(Investment!$AI:$AI,Investment!$H:$H,LEFT($P438,30)&amp;"*"),MAXIFS(Investment!$AI:$AI,Investment!$H:$H,LEFT($P438,30)&amp;"*"),),)</f>
        <v/>
      </c>
      <c r="P438" s="172"/>
      <c r="Q438" s="173"/>
      <c r="R438" s="171"/>
    </row>
    <row r="439">
      <c r="A439" s="165">
        <v>43304.0</v>
      </c>
      <c r="B439" s="55" t="s">
        <v>134</v>
      </c>
      <c r="C439" s="55" t="s">
        <v>710</v>
      </c>
      <c r="D439" s="55" t="s">
        <v>332</v>
      </c>
      <c r="E439" s="50">
        <v>31102.0</v>
      </c>
      <c r="F439" s="169">
        <v>3.857</v>
      </c>
      <c r="G439" s="170">
        <v>-119971.61</v>
      </c>
      <c r="H439" s="55" t="s">
        <v>882</v>
      </c>
      <c r="I439" s="171">
        <f t="shared" ref="I439:J439" si="444">IFS(AND($B439&lt;&gt;"",$E439&lt;&gt;""),IF(INDEX(N:N,MATCH($C439,$P:$P,0),1)&lt;&gt;"",$E439*INDEX(N:N,MATCH($C439,$P:$P,0),1)+$G439,""),AND($B439&lt;&gt;"",$D439="COST",$G439&lt;0),$G439,TRUE,)</f>
        <v>23595.222</v>
      </c>
      <c r="J439" s="171">
        <f t="shared" si="444"/>
        <v>14309.41498</v>
      </c>
      <c r="K439" s="172" t="str">
        <f t="shared" si="3"/>
        <v>iShares Treasury Bond 20+ UCITS USD Dist</v>
      </c>
      <c r="L439" s="173">
        <f t="shared" si="4"/>
        <v>0</v>
      </c>
      <c r="M439" s="174">
        <f t="shared" si="5"/>
        <v>27424.27</v>
      </c>
      <c r="N439" s="176" t="str">
        <f>IF($P439&lt;&gt;"",IF(MAXIFS(Investment!$M:$M,Investment!$H:$H,LEFT($P439,30)&amp;"*"),MAXIFS(Investment!$M:$M,Investment!$H:$H,LEFT($P439,30)&amp;"*"),),)</f>
        <v/>
      </c>
      <c r="O439" s="177" t="str">
        <f>IF($P439&lt;&gt;"",IF(MAXIFS(Investment!$AI:$AI,Investment!$H:$H,LEFT($P439,30)&amp;"*"),MAXIFS(Investment!$AI:$AI,Investment!$H:$H,LEFT($P439,30)&amp;"*"),),)</f>
        <v/>
      </c>
      <c r="P439" s="172"/>
      <c r="Q439" s="173"/>
      <c r="R439" s="171"/>
    </row>
    <row r="440">
      <c r="A440" s="165">
        <v>43304.0</v>
      </c>
      <c r="B440" s="55" t="s">
        <v>138</v>
      </c>
      <c r="C440" s="55" t="s">
        <v>139</v>
      </c>
      <c r="D440" s="55" t="s">
        <v>332</v>
      </c>
      <c r="E440" s="50">
        <v>1926.0</v>
      </c>
      <c r="F440" s="169">
        <v>45.323</v>
      </c>
      <c r="G440" s="170">
        <v>-87292.1</v>
      </c>
      <c r="H440" s="55" t="s">
        <v>883</v>
      </c>
      <c r="I440" s="171">
        <f t="shared" ref="I440:J440" si="445">IFS(AND($B440&lt;&gt;"",$E440&lt;&gt;""),IF(INDEX(N:N,MATCH($C440,$P:$P,0),1)&lt;&gt;"",$E440*INDEX(N:N,MATCH($C440,$P:$P,0),1)+$G440,""),AND($B440&lt;&gt;"",$D440="COST",$G440&lt;0),$G440,TRUE,)</f>
        <v>15334.81</v>
      </c>
      <c r="J440" s="171">
        <f t="shared" si="445"/>
        <v>5421.272588</v>
      </c>
      <c r="K440" s="172" t="str">
        <f t="shared" si="3"/>
        <v>Vanguard S&amp;P 500 UCITS</v>
      </c>
      <c r="L440" s="173">
        <f t="shared" si="4"/>
        <v>3715</v>
      </c>
      <c r="M440" s="174">
        <f t="shared" si="5"/>
        <v>-151722.66</v>
      </c>
      <c r="N440" s="176" t="str">
        <f>IF($P440&lt;&gt;"",IF(MAXIFS(Investment!$M:$M,Investment!$H:$H,LEFT($P440,30)&amp;"*"),MAXIFS(Investment!$M:$M,Investment!$H:$H,LEFT($P440,30)&amp;"*"),),)</f>
        <v/>
      </c>
      <c r="O440" s="177" t="str">
        <f>IF($P440&lt;&gt;"",IF(MAXIFS(Investment!$AI:$AI,Investment!$H:$H,LEFT($P440,30)&amp;"*"),MAXIFS(Investment!$AI:$AI,Investment!$H:$H,LEFT($P440,30)&amp;"*"),),)</f>
        <v/>
      </c>
      <c r="P440" s="172"/>
      <c r="Q440" s="173"/>
      <c r="R440" s="171"/>
    </row>
    <row r="441">
      <c r="A441" s="165">
        <v>43304.0</v>
      </c>
      <c r="B441" s="55" t="s">
        <v>127</v>
      </c>
      <c r="C441" s="55" t="s">
        <v>128</v>
      </c>
      <c r="D441" s="55" t="s">
        <v>332</v>
      </c>
      <c r="E441" s="50">
        <v>273.0</v>
      </c>
      <c r="F441" s="169">
        <v>160.85</v>
      </c>
      <c r="G441" s="170">
        <v>-43912.05</v>
      </c>
      <c r="H441" s="55" t="s">
        <v>884</v>
      </c>
      <c r="I441" s="171">
        <f t="shared" ref="I441:J441" si="446">IFS(AND($B441&lt;&gt;"",$E441&lt;&gt;""),IF(INDEX(N:N,MATCH($C441,$P:$P,0),1)&lt;&gt;"",$E441*INDEX(N:N,MATCH($C441,$P:$P,0),1)+$G441,""),AND($B441&lt;&gt;"",$D441="COST",$G441&lt;0),$G441,TRUE,)</f>
        <v>6666.66</v>
      </c>
      <c r="J441" s="171">
        <f t="shared" si="446"/>
        <v>4352.198118</v>
      </c>
      <c r="K441" s="172" t="str">
        <f t="shared" si="3"/>
        <v>iShares Treasury Bond 7-10 UCITS</v>
      </c>
      <c r="L441" s="173">
        <f t="shared" si="4"/>
        <v>547</v>
      </c>
      <c r="M441" s="174">
        <f t="shared" si="5"/>
        <v>-81771.76</v>
      </c>
      <c r="N441" s="176" t="str">
        <f>IF($P441&lt;&gt;"",IF(MAXIFS(Investment!$M:$M,Investment!$H:$H,LEFT($P441,30)&amp;"*"),MAXIFS(Investment!$M:$M,Investment!$H:$H,LEFT($P441,30)&amp;"*"),),)</f>
        <v/>
      </c>
      <c r="O441" s="177" t="str">
        <f>IF($P441&lt;&gt;"",IF(MAXIFS(Investment!$AI:$AI,Investment!$H:$H,LEFT($P441,30)&amp;"*"),MAXIFS(Investment!$AI:$AI,Investment!$H:$H,LEFT($P441,30)&amp;"*"),),)</f>
        <v/>
      </c>
      <c r="P441" s="172"/>
      <c r="Q441" s="173"/>
      <c r="R441" s="171"/>
    </row>
    <row r="442">
      <c r="A442" s="165">
        <v>43297.0</v>
      </c>
      <c r="B442" s="55" t="s">
        <v>118</v>
      </c>
      <c r="C442" s="55" t="s">
        <v>120</v>
      </c>
      <c r="D442" s="55" t="s">
        <v>332</v>
      </c>
      <c r="E442" s="50">
        <v>3336.0</v>
      </c>
      <c r="F442" s="169">
        <v>7.303</v>
      </c>
      <c r="G442" s="170">
        <v>-24362.81</v>
      </c>
      <c r="H442" s="55" t="s">
        <v>885</v>
      </c>
      <c r="I442" s="171">
        <f t="shared" ref="I442:J442" si="447">IFS(AND($B442&lt;&gt;"",$E442&lt;&gt;""),IF(INDEX(N:N,MATCH($C442,$P:$P,0),1)&lt;&gt;"",$E442*INDEX(N:N,MATCH($C442,$P:$P,0),1)+$G442,""),AND($B442&lt;&gt;"",$D442="COST",$G442&lt;0),$G442,TRUE,)</f>
        <v>256.87</v>
      </c>
      <c r="J442" s="171">
        <f t="shared" si="447"/>
        <v>-186.8049176</v>
      </c>
      <c r="K442" s="172" t="str">
        <f t="shared" si="3"/>
        <v>ETFS All Commodities ETC</v>
      </c>
      <c r="L442" s="173">
        <f t="shared" si="4"/>
        <v>11745</v>
      </c>
      <c r="M442" s="174">
        <f t="shared" si="5"/>
        <v>-84366.02</v>
      </c>
      <c r="N442" s="176" t="str">
        <f>IF($P442&lt;&gt;"",IF(MAXIFS(Investment!$M:$M,Investment!$H:$H,LEFT($P442,30)&amp;"*"),MAXIFS(Investment!$M:$M,Investment!$H:$H,LEFT($P442,30)&amp;"*"),),)</f>
        <v/>
      </c>
      <c r="O442" s="177" t="str">
        <f>IF($P442&lt;&gt;"",IF(MAXIFS(Investment!$AI:$AI,Investment!$H:$H,LEFT($P442,30)&amp;"*"),MAXIFS(Investment!$AI:$AI,Investment!$H:$H,LEFT($P442,30)&amp;"*"),),)</f>
        <v/>
      </c>
      <c r="P442" s="172"/>
      <c r="Q442" s="173"/>
      <c r="R442" s="171"/>
    </row>
    <row r="443">
      <c r="A443" s="165">
        <v>43297.0</v>
      </c>
      <c r="B443" s="55" t="s">
        <v>122</v>
      </c>
      <c r="C443" s="55" t="s">
        <v>123</v>
      </c>
      <c r="D443" s="55" t="s">
        <v>332</v>
      </c>
      <c r="E443" s="55">
        <v>235.0</v>
      </c>
      <c r="F443" s="169">
        <v>101.75</v>
      </c>
      <c r="G443" s="170">
        <v>-23911.25</v>
      </c>
      <c r="H443" s="55" t="s">
        <v>886</v>
      </c>
      <c r="I443" s="171">
        <f t="shared" ref="I443:J443" si="448">IFS(AND($B443&lt;&gt;"",$E443&lt;&gt;""),IF(INDEX(N:N,MATCH($C443,$P:$P,0),1)&lt;&gt;"",$E443*INDEX(N:N,MATCH($C443,$P:$P,0),1)+$G443,""),AND($B443&lt;&gt;"",$D443="COST",$G443&lt;0),$G443,TRUE,)</f>
        <v>5609.45</v>
      </c>
      <c r="J443" s="171">
        <f t="shared" si="448"/>
        <v>3326.706078</v>
      </c>
      <c r="K443" s="172" t="str">
        <f t="shared" si="3"/>
        <v>ETFS Physical Gold</v>
      </c>
      <c r="L443" s="173">
        <f t="shared" si="4"/>
        <v>353</v>
      </c>
      <c r="M443" s="174">
        <f t="shared" si="5"/>
        <v>-33586.49</v>
      </c>
      <c r="N443" s="176" t="str">
        <f>IF($P443&lt;&gt;"",IF(MAXIFS(Investment!$M:$M,Investment!$H:$H,LEFT($P443,30)&amp;"*"),MAXIFS(Investment!$M:$M,Investment!$H:$H,LEFT($P443,30)&amp;"*"),),)</f>
        <v/>
      </c>
      <c r="O443" s="177" t="str">
        <f>IF($P443&lt;&gt;"",IF(MAXIFS(Investment!$AI:$AI,Investment!$H:$H,LEFT($P443,30)&amp;"*"),MAXIFS(Investment!$AI:$AI,Investment!$H:$H,LEFT($P443,30)&amp;"*"),),)</f>
        <v/>
      </c>
      <c r="P443" s="172"/>
      <c r="Q443" s="173"/>
      <c r="R443" s="171"/>
    </row>
    <row r="444">
      <c r="A444" s="165">
        <v>43291.0</v>
      </c>
      <c r="B444" s="55"/>
      <c r="C444" s="55"/>
      <c r="D444" s="55" t="s">
        <v>299</v>
      </c>
      <c r="F444" s="169"/>
      <c r="G444" s="170">
        <v>108000.0</v>
      </c>
      <c r="H444" s="55" t="s">
        <v>887</v>
      </c>
      <c r="I444" s="171" t="str">
        <f t="shared" ref="I444:J444" si="449">IFS(AND($B444&lt;&gt;"",$E444&lt;&gt;""),IF(INDEX(N:N,MATCH($C444,$P:$P,0),1)&lt;&gt;"",$E444*INDEX(N:N,MATCH($C444,$P:$P,0),1)+$G444,""),AND($B444&lt;&gt;"",$D444="COST",$G444&lt;0),$G444,TRUE,)</f>
        <v/>
      </c>
      <c r="J444" s="171" t="str">
        <f t="shared" si="449"/>
        <v/>
      </c>
      <c r="K444" s="172" t="str">
        <f t="shared" si="3"/>
        <v/>
      </c>
      <c r="L444" s="173" t="str">
        <f t="shared" si="4"/>
        <v/>
      </c>
      <c r="M444" s="174" t="str">
        <f t="shared" si="5"/>
        <v/>
      </c>
      <c r="N444" s="176" t="str">
        <f>IF($P444&lt;&gt;"",IF(MAXIFS(Investment!$M:$M,Investment!$H:$H,LEFT($P444,30)&amp;"*"),MAXIFS(Investment!$M:$M,Investment!$H:$H,LEFT($P444,30)&amp;"*"),),)</f>
        <v/>
      </c>
      <c r="O444" s="177" t="str">
        <f>IF($P444&lt;&gt;"",IF(MAXIFS(Investment!$AI:$AI,Investment!$H:$H,LEFT($P444,30)&amp;"*"),MAXIFS(Investment!$AI:$AI,Investment!$H:$H,LEFT($P444,30)&amp;"*"),),)</f>
        <v/>
      </c>
      <c r="P444" s="172"/>
      <c r="Q444" s="173"/>
      <c r="R444" s="171"/>
    </row>
    <row r="445">
      <c r="A445" s="165">
        <v>43286.0</v>
      </c>
      <c r="B445" s="166" t="s">
        <v>138</v>
      </c>
      <c r="C445" s="167" t="s">
        <v>139</v>
      </c>
      <c r="D445" s="168" t="s">
        <v>307</v>
      </c>
      <c r="E445" s="168"/>
      <c r="F445" s="169"/>
      <c r="G445" s="170">
        <v>-72.97</v>
      </c>
      <c r="H445" s="167" t="s">
        <v>888</v>
      </c>
      <c r="I445" s="171" t="str">
        <f t="shared" ref="I445:J445" si="450">IFS(AND($B445&lt;&gt;"",$E445&lt;&gt;""),IF(INDEX(N:N,MATCH($C445,$P:$P,0),1)&lt;&gt;"",$E445*INDEX(N:N,MATCH($C445,$P:$P,0),1)+$G445,""),AND($B445&lt;&gt;"",$D445="COST",$G445&lt;0),$G445,TRUE,)</f>
        <v/>
      </c>
      <c r="J445" s="171" t="str">
        <f t="shared" si="450"/>
        <v/>
      </c>
      <c r="K445" s="172" t="str">
        <f t="shared" si="3"/>
        <v>Vanguard S&amp;P 500 UCITS</v>
      </c>
      <c r="L445" s="173">
        <f t="shared" si="4"/>
        <v>3715</v>
      </c>
      <c r="M445" s="174">
        <f t="shared" si="5"/>
        <v>-151722.66</v>
      </c>
      <c r="N445" s="176" t="str">
        <f>IF($P445&lt;&gt;"",IF(MAXIFS(Investment!$M:$M,Investment!$H:$H,LEFT($P445,30)&amp;"*"),MAXIFS(Investment!$M:$M,Investment!$H:$H,LEFT($P445,30)&amp;"*"),),)</f>
        <v/>
      </c>
      <c r="O445" s="177" t="str">
        <f>IF($P445&lt;&gt;"",IF(MAXIFS(Investment!$AI:$AI,Investment!$H:$H,LEFT($P445,30)&amp;"*"),MAXIFS(Investment!$AI:$AI,Investment!$H:$H,LEFT($P445,30)&amp;"*"),),)</f>
        <v/>
      </c>
      <c r="P445" s="172"/>
      <c r="Q445" s="173"/>
      <c r="R445" s="171"/>
    </row>
    <row r="446">
      <c r="A446" s="165">
        <v>43286.0</v>
      </c>
      <c r="B446" s="55" t="s">
        <v>138</v>
      </c>
      <c r="C446" s="55" t="s">
        <v>139</v>
      </c>
      <c r="D446" s="55" t="s">
        <v>307</v>
      </c>
      <c r="F446" s="169"/>
      <c r="G446" s="170">
        <v>501.26</v>
      </c>
      <c r="H446" s="55" t="s">
        <v>889</v>
      </c>
      <c r="I446" s="171" t="str">
        <f t="shared" ref="I446:J446" si="451">IFS(AND($B446&lt;&gt;"",$E446&lt;&gt;""),IF(INDEX(N:N,MATCH($C446,$P:$P,0),1)&lt;&gt;"",$E446*INDEX(N:N,MATCH($C446,$P:$P,0),1)+$G446,""),AND($B446&lt;&gt;"",$D446="COST",$G446&lt;0),$G446,TRUE,)</f>
        <v/>
      </c>
      <c r="J446" s="171" t="str">
        <f t="shared" si="451"/>
        <v/>
      </c>
      <c r="K446" s="172" t="str">
        <f t="shared" si="3"/>
        <v>Vanguard S&amp;P 500 UCITS</v>
      </c>
      <c r="L446" s="173">
        <f t="shared" si="4"/>
        <v>3715</v>
      </c>
      <c r="M446" s="174">
        <f t="shared" si="5"/>
        <v>-151722.66</v>
      </c>
      <c r="N446" s="176" t="str">
        <f>IF($P446&lt;&gt;"",IF(MAXIFS(Investment!$M:$M,Investment!$H:$H,LEFT($P446,30)&amp;"*"),MAXIFS(Investment!$M:$M,Investment!$H:$H,LEFT($P446,30)&amp;"*"),),)</f>
        <v/>
      </c>
      <c r="O446" s="177" t="str">
        <f>IF($P446&lt;&gt;"",IF(MAXIFS(Investment!$AI:$AI,Investment!$H:$H,LEFT($P446,30)&amp;"*"),MAXIFS(Investment!$AI:$AI,Investment!$H:$H,LEFT($P446,30)&amp;"*"),),)</f>
        <v/>
      </c>
      <c r="P446" s="172"/>
      <c r="Q446" s="173"/>
      <c r="R446" s="171"/>
    </row>
    <row r="447">
      <c r="A447" s="165">
        <v>43281.0</v>
      </c>
      <c r="B447" s="166"/>
      <c r="C447" s="167"/>
      <c r="D447" s="168" t="s">
        <v>301</v>
      </c>
      <c r="E447" s="168"/>
      <c r="F447" s="169"/>
      <c r="G447" s="170">
        <v>-276.19</v>
      </c>
      <c r="H447" s="167" t="s">
        <v>890</v>
      </c>
      <c r="I447" s="171" t="str">
        <f t="shared" ref="I447:J447" si="452">IFS(AND($B447&lt;&gt;"",$E447&lt;&gt;""),IF(INDEX(N:N,MATCH($C447,$P:$P,0),1)&lt;&gt;"",$E447*INDEX(N:N,MATCH($C447,$P:$P,0),1)+$G447,""),AND($B447&lt;&gt;"",$D447="COST",$G447&lt;0),$G447,TRUE,)</f>
        <v/>
      </c>
      <c r="J447" s="171" t="str">
        <f t="shared" si="452"/>
        <v/>
      </c>
      <c r="K447" s="172" t="str">
        <f t="shared" si="3"/>
        <v/>
      </c>
      <c r="L447" s="173" t="str">
        <f t="shared" si="4"/>
        <v/>
      </c>
      <c r="M447" s="174" t="str">
        <f t="shared" si="5"/>
        <v/>
      </c>
      <c r="N447" s="176" t="str">
        <f>IF($P447&lt;&gt;"",IF(MAXIFS(Investment!$M:$M,Investment!$H:$H,LEFT($P447,30)&amp;"*"),MAXIFS(Investment!$M:$M,Investment!$H:$H,LEFT($P447,30)&amp;"*"),),)</f>
        <v/>
      </c>
      <c r="O447" s="177" t="str">
        <f>IF($P447&lt;&gt;"",IF(MAXIFS(Investment!$AI:$AI,Investment!$H:$H,LEFT($P447,30)&amp;"*"),MAXIFS(Investment!$AI:$AI,Investment!$H:$H,LEFT($P447,30)&amp;"*"),),)</f>
        <v/>
      </c>
      <c r="P447" s="172"/>
      <c r="Q447" s="173"/>
      <c r="R447" s="171"/>
    </row>
    <row r="448">
      <c r="A448" s="165">
        <v>43280.0</v>
      </c>
      <c r="B448" s="166"/>
      <c r="C448" s="167"/>
      <c r="D448" s="168" t="s">
        <v>301</v>
      </c>
      <c r="E448" s="168"/>
      <c r="F448" s="169"/>
      <c r="G448" s="170">
        <v>-0.04</v>
      </c>
      <c r="H448" s="167" t="s">
        <v>891</v>
      </c>
      <c r="I448" s="171" t="str">
        <f t="shared" ref="I448:J448" si="453">IFS(AND($B448&lt;&gt;"",$E448&lt;&gt;""),IF(INDEX(N:N,MATCH($C448,$P:$P,0),1)&lt;&gt;"",$E448*INDEX(N:N,MATCH($C448,$P:$P,0),1)+$G448,""),AND($B448&lt;&gt;"",$D448="COST",$G448&lt;0),$G448,TRUE,)</f>
        <v/>
      </c>
      <c r="J448" s="171" t="str">
        <f t="shared" si="453"/>
        <v/>
      </c>
      <c r="K448" s="172" t="str">
        <f t="shared" si="3"/>
        <v/>
      </c>
      <c r="L448" s="173" t="str">
        <f t="shared" si="4"/>
        <v/>
      </c>
      <c r="M448" s="174" t="str">
        <f t="shared" si="5"/>
        <v/>
      </c>
      <c r="N448" s="176" t="str">
        <f>IF($P448&lt;&gt;"",IF(MAXIFS(Investment!$M:$M,Investment!$H:$H,LEFT($P448,30)&amp;"*"),MAXIFS(Investment!$M:$M,Investment!$H:$H,LEFT($P448,30)&amp;"*"),),)</f>
        <v/>
      </c>
      <c r="O448" s="177" t="str">
        <f>IF($P448&lt;&gt;"",IF(MAXIFS(Investment!$AI:$AI,Investment!$H:$H,LEFT($P448,30)&amp;"*"),MAXIFS(Investment!$AI:$AI,Investment!$H:$H,LEFT($P448,30)&amp;"*"),),)</f>
        <v/>
      </c>
      <c r="P448" s="172"/>
      <c r="Q448" s="173"/>
      <c r="R448" s="171"/>
    </row>
    <row r="449">
      <c r="A449" s="165">
        <v>43279.0</v>
      </c>
      <c r="B449" s="166" t="s">
        <v>134</v>
      </c>
      <c r="C449" s="167" t="s">
        <v>710</v>
      </c>
      <c r="D449" s="168" t="s">
        <v>307</v>
      </c>
      <c r="E449" s="168"/>
      <c r="F449" s="169"/>
      <c r="G449" s="170">
        <v>-329.67</v>
      </c>
      <c r="H449" s="167" t="s">
        <v>892</v>
      </c>
      <c r="I449" s="171" t="str">
        <f t="shared" ref="I449:J449" si="454">IFS(AND($B449&lt;&gt;"",$E449&lt;&gt;""),IF(INDEX(N:N,MATCH($C449,$P:$P,0),1)&lt;&gt;"",$E449*INDEX(N:N,MATCH($C449,$P:$P,0),1)+$G449,""),AND($B449&lt;&gt;"",$D449="COST",$G449&lt;0),$G449,TRUE,)</f>
        <v/>
      </c>
      <c r="J449" s="171" t="str">
        <f t="shared" si="454"/>
        <v/>
      </c>
      <c r="K449" s="172" t="str">
        <f t="shared" si="3"/>
        <v>iShares Treasury Bond 20+ UCITS USD Dist</v>
      </c>
      <c r="L449" s="173">
        <f t="shared" si="4"/>
        <v>0</v>
      </c>
      <c r="M449" s="174">
        <f t="shared" si="5"/>
        <v>27424.27</v>
      </c>
      <c r="N449" s="176" t="str">
        <f>IF($P449&lt;&gt;"",IF(MAXIFS(Investment!$M:$M,Investment!$H:$H,LEFT($P449,30)&amp;"*"),MAXIFS(Investment!$M:$M,Investment!$H:$H,LEFT($P449,30)&amp;"*"),),)</f>
        <v/>
      </c>
      <c r="O449" s="177" t="str">
        <f>IF($P449&lt;&gt;"",IF(MAXIFS(Investment!$AI:$AI,Investment!$H:$H,LEFT($P449,30)&amp;"*"),MAXIFS(Investment!$AI:$AI,Investment!$H:$H,LEFT($P449,30)&amp;"*"),),)</f>
        <v/>
      </c>
      <c r="P449" s="172"/>
      <c r="Q449" s="173"/>
      <c r="R449" s="171"/>
    </row>
    <row r="450">
      <c r="A450" s="165">
        <v>43278.0</v>
      </c>
      <c r="B450" s="166" t="s">
        <v>134</v>
      </c>
      <c r="C450" s="167" t="s">
        <v>710</v>
      </c>
      <c r="D450" s="168" t="s">
        <v>307</v>
      </c>
      <c r="E450" s="168"/>
      <c r="F450" s="169"/>
      <c r="G450" s="170">
        <v>2415.73</v>
      </c>
      <c r="H450" s="167" t="s">
        <v>893</v>
      </c>
      <c r="I450" s="171" t="str">
        <f t="shared" ref="I450:J450" si="455">IFS(AND($B450&lt;&gt;"",$E450&lt;&gt;""),IF(INDEX(N:N,MATCH($C450,$P:$P,0),1)&lt;&gt;"",$E450*INDEX(N:N,MATCH($C450,$P:$P,0),1)+$G450,""),AND($B450&lt;&gt;"",$D450="COST",$G450&lt;0),$G450,TRUE,)</f>
        <v/>
      </c>
      <c r="J450" s="171" t="str">
        <f t="shared" si="455"/>
        <v/>
      </c>
      <c r="K450" s="172" t="str">
        <f t="shared" si="3"/>
        <v>iShares Treasury Bond 20+ UCITS USD Dist</v>
      </c>
      <c r="L450" s="173">
        <f t="shared" si="4"/>
        <v>0</v>
      </c>
      <c r="M450" s="174">
        <f t="shared" si="5"/>
        <v>27424.27</v>
      </c>
      <c r="N450" s="176" t="str">
        <f>IF($P450&lt;&gt;"",IF(MAXIFS(Investment!$M:$M,Investment!$H:$H,LEFT($P450,30)&amp;"*"),MAXIFS(Investment!$M:$M,Investment!$H:$H,LEFT($P450,30)&amp;"*"),),)</f>
        <v/>
      </c>
      <c r="O450" s="177" t="str">
        <f>IF($P450&lt;&gt;"",IF(MAXIFS(Investment!$AI:$AI,Investment!$H:$H,LEFT($P450,30)&amp;"*"),MAXIFS(Investment!$AI:$AI,Investment!$H:$H,LEFT($P450,30)&amp;"*"),),)</f>
        <v/>
      </c>
      <c r="P450" s="172"/>
      <c r="Q450" s="173"/>
      <c r="R450" s="171"/>
    </row>
    <row r="451">
      <c r="A451" s="165">
        <v>43259.0</v>
      </c>
      <c r="B451" s="55" t="s">
        <v>118</v>
      </c>
      <c r="C451" s="308" t="s">
        <v>120</v>
      </c>
      <c r="D451" s="55" t="s">
        <v>332</v>
      </c>
      <c r="E451" s="55">
        <v>897.0</v>
      </c>
      <c r="F451" s="169">
        <v>7.768</v>
      </c>
      <c r="G451" s="170">
        <v>-6967.9</v>
      </c>
      <c r="H451" s="55" t="s">
        <v>894</v>
      </c>
      <c r="I451" s="171">
        <f t="shared" ref="I451:J451" si="456">IFS(AND($B451&lt;&gt;"",$E451&lt;&gt;""),IF(INDEX(N:N,MATCH($C451,$P:$P,0),1)&lt;&gt;"",$E451*INDEX(N:N,MATCH($C451,$P:$P,0),1)+$G451,""),AND($B451&lt;&gt;"",$D451="COST",$G451&lt;0),$G451,TRUE,)</f>
        <v>-348.04</v>
      </c>
      <c r="J451" s="171">
        <f t="shared" si="456"/>
        <v>-467.3374824</v>
      </c>
      <c r="K451" s="172" t="str">
        <f t="shared" si="3"/>
        <v>ETFS All Commodities ETC</v>
      </c>
      <c r="L451" s="173">
        <f t="shared" si="4"/>
        <v>11745</v>
      </c>
      <c r="M451" s="174">
        <f t="shared" si="5"/>
        <v>-84366.02</v>
      </c>
      <c r="N451" s="176" t="str">
        <f>IF($P451&lt;&gt;"",IF(MAXIFS(Investment!$M:$M,Investment!$H:$H,LEFT($P451,30)&amp;"*"),MAXIFS(Investment!$M:$M,Investment!$H:$H,LEFT($P451,30)&amp;"*"),),)</f>
        <v/>
      </c>
      <c r="O451" s="177" t="str">
        <f>IF($P451&lt;&gt;"",IF(MAXIFS(Investment!$AI:$AI,Investment!$H:$H,LEFT($P451,30)&amp;"*"),MAXIFS(Investment!$AI:$AI,Investment!$H:$H,LEFT($P451,30)&amp;"*"),),)</f>
        <v/>
      </c>
      <c r="P451" s="172"/>
      <c r="Q451" s="173"/>
      <c r="R451" s="171"/>
    </row>
    <row r="452">
      <c r="A452" s="165">
        <v>43259.0</v>
      </c>
      <c r="B452" s="55" t="s">
        <v>122</v>
      </c>
      <c r="C452" s="308" t="s">
        <v>123</v>
      </c>
      <c r="D452" s="55" t="s">
        <v>332</v>
      </c>
      <c r="E452" s="55">
        <v>68.0</v>
      </c>
      <c r="F452" s="169">
        <v>105.33</v>
      </c>
      <c r="G452" s="170">
        <v>-7162.44</v>
      </c>
      <c r="H452" s="55" t="s">
        <v>895</v>
      </c>
      <c r="I452" s="171">
        <f t="shared" ref="I452:J452" si="457">IFS(AND($B452&lt;&gt;"",$E452&lt;&gt;""),IF(INDEX(N:N,MATCH($C452,$P:$P,0),1)&lt;&gt;"",$E452*INDEX(N:N,MATCH($C452,$P:$P,0),1)+$G452,""),AND($B452&lt;&gt;"",$D452="COST",$G452&lt;0),$G452,TRUE,)</f>
        <v>1379.72</v>
      </c>
      <c r="J452" s="171">
        <f t="shared" si="457"/>
        <v>719.1813333</v>
      </c>
      <c r="K452" s="172" t="str">
        <f t="shared" si="3"/>
        <v>ETFS Physical Gold</v>
      </c>
      <c r="L452" s="173">
        <f t="shared" si="4"/>
        <v>353</v>
      </c>
      <c r="M452" s="174">
        <f t="shared" si="5"/>
        <v>-33586.49</v>
      </c>
      <c r="N452" s="176" t="str">
        <f>IF($P452&lt;&gt;"",IF(MAXIFS(Investment!$M:$M,Investment!$H:$H,LEFT($P452,30)&amp;"*"),MAXIFS(Investment!$M:$M,Investment!$H:$H,LEFT($P452,30)&amp;"*"),),)</f>
        <v/>
      </c>
      <c r="O452" s="177" t="str">
        <f>IF($P452&lt;&gt;"",IF(MAXIFS(Investment!$AI:$AI,Investment!$H:$H,LEFT($P452,30)&amp;"*"),MAXIFS(Investment!$AI:$AI,Investment!$H:$H,LEFT($P452,30)&amp;"*"),),)</f>
        <v/>
      </c>
      <c r="P452" s="172"/>
      <c r="Q452" s="173"/>
      <c r="R452" s="171"/>
    </row>
    <row r="453">
      <c r="A453" s="165">
        <v>43259.0</v>
      </c>
      <c r="B453" s="55" t="s">
        <v>138</v>
      </c>
      <c r="C453" s="308" t="s">
        <v>139</v>
      </c>
      <c r="D453" s="55" t="s">
        <v>332</v>
      </c>
      <c r="E453" s="55">
        <v>630.0</v>
      </c>
      <c r="F453" s="169">
        <v>44.718</v>
      </c>
      <c r="G453" s="170">
        <v>-28172.34</v>
      </c>
      <c r="H453" s="55" t="s">
        <v>896</v>
      </c>
      <c r="I453" s="171">
        <f t="shared" ref="I453:J453" si="458">IFS(AND($B453&lt;&gt;"",$E453&lt;&gt;""),IF(INDEX(N:N,MATCH($C453,$P:$P,0),1)&lt;&gt;"",$E453*INDEX(N:N,MATCH($C453,$P:$P,0),1)+$G453,""),AND($B453&lt;&gt;"",$D453="COST",$G453&lt;0),$G453,TRUE,)</f>
        <v>5397.21</v>
      </c>
      <c r="J453" s="171">
        <f t="shared" si="458"/>
        <v>2154.464118</v>
      </c>
      <c r="K453" s="172" t="str">
        <f t="shared" si="3"/>
        <v>Vanguard S&amp;P 500 UCITS</v>
      </c>
      <c r="L453" s="173">
        <f t="shared" si="4"/>
        <v>3715</v>
      </c>
      <c r="M453" s="174">
        <f t="shared" si="5"/>
        <v>-151722.66</v>
      </c>
      <c r="N453" s="176" t="str">
        <f>IF($P453&lt;&gt;"",IF(MAXIFS(Investment!$M:$M,Investment!$H:$H,LEFT($P453,30)&amp;"*"),MAXIFS(Investment!$M:$M,Investment!$H:$H,LEFT($P453,30)&amp;"*"),),)</f>
        <v/>
      </c>
      <c r="O453" s="177" t="str">
        <f>IF($P453&lt;&gt;"",IF(MAXIFS(Investment!$AI:$AI,Investment!$H:$H,LEFT($P453,30)&amp;"*"),MAXIFS(Investment!$AI:$AI,Investment!$H:$H,LEFT($P453,30)&amp;"*"),),)</f>
        <v/>
      </c>
      <c r="P453" s="172"/>
      <c r="Q453" s="173"/>
      <c r="R453" s="171"/>
    </row>
    <row r="454">
      <c r="A454" s="165">
        <v>43259.0</v>
      </c>
      <c r="B454" s="55" t="s">
        <v>134</v>
      </c>
      <c r="C454" s="55" t="s">
        <v>710</v>
      </c>
      <c r="D454" s="55" t="s">
        <v>301</v>
      </c>
      <c r="E454" s="55"/>
      <c r="F454" s="169"/>
      <c r="G454" s="170">
        <v>-10.09</v>
      </c>
      <c r="H454" s="55" t="s">
        <v>897</v>
      </c>
      <c r="I454" s="171">
        <f t="shared" ref="I454:J454" si="459">IFS(AND($B454&lt;&gt;"",$E454&lt;&gt;""),IF(INDEX(N:N,MATCH($C454,$P:$P,0),1)&lt;&gt;"",$E454*INDEX(N:N,MATCH($C454,$P:$P,0),1)+$G454,""),AND($B454&lt;&gt;"",$D454="COST",$G454&lt;0),$G454,TRUE,)</f>
        <v>-10.09</v>
      </c>
      <c r="J454" s="171">
        <f t="shared" si="459"/>
        <v>-10.09</v>
      </c>
      <c r="K454" s="172" t="str">
        <f t="shared" si="3"/>
        <v>iShares Treasury Bond 20+ UCITS USD Dist</v>
      </c>
      <c r="L454" s="173">
        <f t="shared" si="4"/>
        <v>0</v>
      </c>
      <c r="M454" s="174">
        <f t="shared" si="5"/>
        <v>27424.27</v>
      </c>
      <c r="N454" s="176" t="str">
        <f>IF($P454&lt;&gt;"",IF(MAXIFS(Investment!$M:$M,Investment!$H:$H,LEFT($P454,30)&amp;"*"),MAXIFS(Investment!$M:$M,Investment!$H:$H,LEFT($P454,30)&amp;"*"),),)</f>
        <v/>
      </c>
      <c r="O454" s="177" t="str">
        <f>IF($P454&lt;&gt;"",IF(MAXIFS(Investment!$AI:$AI,Investment!$H:$H,LEFT($P454,30)&amp;"*"),MAXIFS(Investment!$AI:$AI,Investment!$H:$H,LEFT($P454,30)&amp;"*"),),)</f>
        <v/>
      </c>
      <c r="P454" s="172"/>
      <c r="Q454" s="173"/>
      <c r="R454" s="171"/>
    </row>
    <row r="455">
      <c r="A455" s="165">
        <v>43259.0</v>
      </c>
      <c r="B455" s="55" t="s">
        <v>134</v>
      </c>
      <c r="C455" s="55" t="s">
        <v>710</v>
      </c>
      <c r="D455" s="55" t="s">
        <v>332</v>
      </c>
      <c r="E455" s="50">
        <v>10452.0</v>
      </c>
      <c r="F455" s="169">
        <v>3.869</v>
      </c>
      <c r="G455" s="170">
        <v>-40435.8</v>
      </c>
      <c r="H455" s="55" t="s">
        <v>898</v>
      </c>
      <c r="I455" s="171">
        <f t="shared" ref="I455:J455" si="460">IFS(AND($B455&lt;&gt;"",$E455&lt;&gt;""),IF(INDEX(N:N,MATCH($C455,$P:$P,0),1)&lt;&gt;"",$E455*INDEX(N:N,MATCH($C455,$P:$P,0),1)+$G455,""),AND($B455&lt;&gt;"",$D455="COST",$G455&lt;0),$G455,TRUE,)</f>
        <v>7810.632</v>
      </c>
      <c r="J455" s="171">
        <f t="shared" si="460"/>
        <v>4690.084929</v>
      </c>
      <c r="K455" s="172" t="str">
        <f t="shared" si="3"/>
        <v>iShares Treasury Bond 20+ UCITS USD Dist</v>
      </c>
      <c r="L455" s="173">
        <f t="shared" si="4"/>
        <v>0</v>
      </c>
      <c r="M455" s="174">
        <f t="shared" si="5"/>
        <v>27424.27</v>
      </c>
      <c r="N455" s="176" t="str">
        <f>IF($P455&lt;&gt;"",IF(MAXIFS(Investment!$M:$M,Investment!$H:$H,LEFT($P455,30)&amp;"*"),MAXIFS(Investment!$M:$M,Investment!$H:$H,LEFT($P455,30)&amp;"*"),),)</f>
        <v/>
      </c>
      <c r="O455" s="177" t="str">
        <f>IF($P455&lt;&gt;"",IF(MAXIFS(Investment!$AI:$AI,Investment!$H:$H,LEFT($P455,30)&amp;"*"),MAXIFS(Investment!$AI:$AI,Investment!$H:$H,LEFT($P455,30)&amp;"*"),),)</f>
        <v/>
      </c>
      <c r="P455" s="172"/>
      <c r="Q455" s="173"/>
      <c r="R455" s="171"/>
    </row>
    <row r="456">
      <c r="A456" s="165">
        <v>43259.0</v>
      </c>
      <c r="B456" s="55" t="s">
        <v>127</v>
      </c>
      <c r="C456" s="55" t="s">
        <v>128</v>
      </c>
      <c r="D456" s="55" t="s">
        <v>332</v>
      </c>
      <c r="E456" s="55">
        <v>93.0</v>
      </c>
      <c r="F456" s="169">
        <v>159.71</v>
      </c>
      <c r="G456" s="170">
        <v>-14853.03</v>
      </c>
      <c r="H456" s="55" t="s">
        <v>899</v>
      </c>
      <c r="I456" s="171">
        <f t="shared" ref="I456:J456" si="461">IFS(AND($B456&lt;&gt;"",$E456&lt;&gt;""),IF(INDEX(N:N,MATCH($C456,$P:$P,0),1)&lt;&gt;"",$E456*INDEX(N:N,MATCH($C456,$P:$P,0),1)+$G456,""),AND($B456&lt;&gt;"",$D456="COST",$G456&lt;0),$G456,TRUE,)</f>
        <v>2377.08</v>
      </c>
      <c r="J456" s="171">
        <f t="shared" si="461"/>
        <v>1588.636941</v>
      </c>
      <c r="K456" s="172" t="str">
        <f t="shared" si="3"/>
        <v>iShares Treasury Bond 7-10 UCITS</v>
      </c>
      <c r="L456" s="173">
        <f t="shared" si="4"/>
        <v>547</v>
      </c>
      <c r="M456" s="174">
        <f t="shared" si="5"/>
        <v>-81771.76</v>
      </c>
      <c r="N456" s="176" t="str">
        <f>IF($P456&lt;&gt;"",IF(MAXIFS(Investment!$M:$M,Investment!$H:$H,LEFT($P456,30)&amp;"*"),MAXIFS(Investment!$M:$M,Investment!$H:$H,LEFT($P456,30)&amp;"*"),),)</f>
        <v/>
      </c>
      <c r="O456" s="177" t="str">
        <f>IF($P456&lt;&gt;"",IF(MAXIFS(Investment!$AI:$AI,Investment!$H:$H,LEFT($P456,30)&amp;"*"),MAXIFS(Investment!$AI:$AI,Investment!$H:$H,LEFT($P456,30)&amp;"*"),),)</f>
        <v/>
      </c>
      <c r="P456" s="172"/>
      <c r="Q456" s="173"/>
      <c r="R456" s="171"/>
    </row>
    <row r="457">
      <c r="A457" s="165">
        <v>43258.0</v>
      </c>
      <c r="B457" s="55"/>
      <c r="C457" s="308"/>
      <c r="D457" s="55" t="s">
        <v>299</v>
      </c>
      <c r="E457" s="55"/>
      <c r="F457" s="169"/>
      <c r="G457" s="170">
        <v>25000.0</v>
      </c>
      <c r="H457" s="55" t="s">
        <v>900</v>
      </c>
      <c r="I457" s="171" t="str">
        <f t="shared" ref="I457:J457" si="462">IFS(AND($B457&lt;&gt;"",$E457&lt;&gt;""),IF(INDEX(N:N,MATCH($C457,$P:$P,0),1)&lt;&gt;"",$E457*INDEX(N:N,MATCH($C457,$P:$P,0),1)+$G457,""),AND($B457&lt;&gt;"",$D457="COST",$G457&lt;0),$G457,TRUE,)</f>
        <v/>
      </c>
      <c r="J457" s="171" t="str">
        <f t="shared" si="462"/>
        <v/>
      </c>
      <c r="K457" s="172" t="str">
        <f t="shared" si="3"/>
        <v/>
      </c>
      <c r="L457" s="173" t="str">
        <f t="shared" si="4"/>
        <v/>
      </c>
      <c r="M457" s="174" t="str">
        <f t="shared" si="5"/>
        <v/>
      </c>
      <c r="N457" s="176" t="str">
        <f>IF($P457&lt;&gt;"",IF(MAXIFS(Investment!$M:$M,Investment!$H:$H,LEFT($P457,30)&amp;"*"),MAXIFS(Investment!$M:$M,Investment!$H:$H,LEFT($P457,30)&amp;"*"),),)</f>
        <v/>
      </c>
      <c r="O457" s="177" t="str">
        <f>IF($P457&lt;&gt;"",IF(MAXIFS(Investment!$AI:$AI,Investment!$H:$H,LEFT($P457,30)&amp;"*"),MAXIFS(Investment!$AI:$AI,Investment!$H:$H,LEFT($P457,30)&amp;"*"),),)</f>
        <v/>
      </c>
      <c r="P457" s="172"/>
      <c r="Q457" s="173"/>
      <c r="R457" s="171"/>
    </row>
    <row r="458">
      <c r="A458" s="165">
        <v>43256.0</v>
      </c>
      <c r="B458" s="55" t="s">
        <v>118</v>
      </c>
      <c r="C458" s="308" t="s">
        <v>120</v>
      </c>
      <c r="D458" s="55" t="s">
        <v>332</v>
      </c>
      <c r="E458" s="55">
        <v>163.0</v>
      </c>
      <c r="F458" s="169">
        <v>7.8</v>
      </c>
      <c r="G458" s="170">
        <v>-1271.4</v>
      </c>
      <c r="H458" s="55" t="s">
        <v>901</v>
      </c>
      <c r="I458" s="171">
        <f t="shared" ref="I458:J458" si="463">IFS(AND($B458&lt;&gt;"",$E458&lt;&gt;""),IF(INDEX(N:N,MATCH($C458,$P:$P,0),1)&lt;&gt;"",$E458*INDEX(N:N,MATCH($C458,$P:$P,0),1)+$G458,""),AND($B458&lt;&gt;"",$D458="COST",$G458&lt;0),$G458,TRUE,)</f>
        <v>-68.46</v>
      </c>
      <c r="J458" s="171">
        <f t="shared" si="463"/>
        <v>-90.13836078</v>
      </c>
      <c r="K458" s="172" t="str">
        <f t="shared" si="3"/>
        <v>ETFS All Commodities ETC</v>
      </c>
      <c r="L458" s="173">
        <f t="shared" si="4"/>
        <v>11745</v>
      </c>
      <c r="M458" s="174">
        <f t="shared" si="5"/>
        <v>-84366.02</v>
      </c>
      <c r="N458" s="176" t="str">
        <f>IF($P458&lt;&gt;"",IF(MAXIFS(Investment!$M:$M,Investment!$H:$H,LEFT($P458,30)&amp;"*"),MAXIFS(Investment!$M:$M,Investment!$H:$H,LEFT($P458,30)&amp;"*"),),)</f>
        <v/>
      </c>
      <c r="O458" s="177" t="str">
        <f>IF($P458&lt;&gt;"",IF(MAXIFS(Investment!$AI:$AI,Investment!$H:$H,LEFT($P458,30)&amp;"*"),MAXIFS(Investment!$AI:$AI,Investment!$H:$H,LEFT($P458,30)&amp;"*"),),)</f>
        <v/>
      </c>
      <c r="P458" s="172"/>
      <c r="Q458" s="173"/>
      <c r="R458" s="171"/>
    </row>
    <row r="459">
      <c r="A459" s="165">
        <v>43255.0</v>
      </c>
      <c r="B459" s="55" t="s">
        <v>134</v>
      </c>
      <c r="C459" s="55" t="s">
        <v>710</v>
      </c>
      <c r="D459" s="55" t="s">
        <v>301</v>
      </c>
      <c r="F459" s="169"/>
      <c r="G459" s="170">
        <v>-3.82</v>
      </c>
      <c r="H459" s="55" t="s">
        <v>902</v>
      </c>
      <c r="I459" s="171">
        <f t="shared" ref="I459:J459" si="464">IFS(AND($B459&lt;&gt;"",$E459&lt;&gt;""),IF(INDEX(N:N,MATCH($C459,$P:$P,0),1)&lt;&gt;"",$E459*INDEX(N:N,MATCH($C459,$P:$P,0),1)+$G459,""),AND($B459&lt;&gt;"",$D459="COST",$G459&lt;0),$G459,TRUE,)</f>
        <v>-3.82</v>
      </c>
      <c r="J459" s="171">
        <f t="shared" si="464"/>
        <v>-3.82</v>
      </c>
      <c r="K459" s="172" t="str">
        <f t="shared" si="3"/>
        <v>iShares Treasury Bond 20+ UCITS USD Dist</v>
      </c>
      <c r="L459" s="173">
        <f t="shared" si="4"/>
        <v>0</v>
      </c>
      <c r="M459" s="174">
        <f t="shared" si="5"/>
        <v>27424.27</v>
      </c>
      <c r="N459" s="176" t="str">
        <f>IF($P459&lt;&gt;"",IF(MAXIFS(Investment!$M:$M,Investment!$H:$H,LEFT($P459,30)&amp;"*"),MAXIFS(Investment!$M:$M,Investment!$H:$H,LEFT($P459,30)&amp;"*"),),)</f>
        <v/>
      </c>
      <c r="O459" s="177" t="str">
        <f>IF($P459&lt;&gt;"",IF(MAXIFS(Investment!$AI:$AI,Investment!$H:$H,LEFT($P459,30)&amp;"*"),MAXIFS(Investment!$AI:$AI,Investment!$H:$H,LEFT($P459,30)&amp;"*"),),)</f>
        <v/>
      </c>
      <c r="P459" s="172"/>
      <c r="Q459" s="173"/>
      <c r="R459" s="171"/>
    </row>
    <row r="460">
      <c r="A460" s="165">
        <v>43255.0</v>
      </c>
      <c r="B460" s="55" t="s">
        <v>134</v>
      </c>
      <c r="C460" s="55" t="s">
        <v>710</v>
      </c>
      <c r="D460" s="55" t="s">
        <v>332</v>
      </c>
      <c r="E460" s="50">
        <v>2338.0</v>
      </c>
      <c r="F460" s="169">
        <v>3.882</v>
      </c>
      <c r="G460" s="170">
        <v>-9076.29</v>
      </c>
      <c r="H460" s="55" t="s">
        <v>903</v>
      </c>
      <c r="I460" s="171">
        <f t="shared" ref="I460:J460" si="465">IFS(AND($B460&lt;&gt;"",$E460&lt;&gt;""),IF(INDEX(N:N,MATCH($C460,$P:$P,0),1)&lt;&gt;"",$E460*INDEX(N:N,MATCH($C460,$P:$P,0),1)+$G460,""),AND($B460&lt;&gt;"",$D460="COST",$G460&lt;0),$G460,TRUE,)</f>
        <v>1715.918</v>
      </c>
      <c r="J460" s="171">
        <f t="shared" si="465"/>
        <v>1017.885178</v>
      </c>
      <c r="K460" s="172" t="str">
        <f t="shared" si="3"/>
        <v>iShares Treasury Bond 20+ UCITS USD Dist</v>
      </c>
      <c r="L460" s="173">
        <f t="shared" si="4"/>
        <v>0</v>
      </c>
      <c r="M460" s="174">
        <f t="shared" si="5"/>
        <v>27424.27</v>
      </c>
      <c r="N460" s="176" t="str">
        <f>IF($P460&lt;&gt;"",IF(MAXIFS(Investment!$M:$M,Investment!$H:$H,LEFT($P460,30)&amp;"*"),MAXIFS(Investment!$M:$M,Investment!$H:$H,LEFT($P460,30)&amp;"*"),),)</f>
        <v/>
      </c>
      <c r="O460" s="177" t="str">
        <f>IF($P460&lt;&gt;"",IF(MAXIFS(Investment!$AI:$AI,Investment!$H:$H,LEFT($P460,30)&amp;"*"),MAXIFS(Investment!$AI:$AI,Investment!$H:$H,LEFT($P460,30)&amp;"*"),),)</f>
        <v/>
      </c>
      <c r="P460" s="172"/>
      <c r="Q460" s="173"/>
      <c r="R460" s="171"/>
    </row>
    <row r="461">
      <c r="A461" s="165">
        <v>43255.0</v>
      </c>
      <c r="B461" s="55" t="s">
        <v>118</v>
      </c>
      <c r="C461" s="308" t="s">
        <v>120</v>
      </c>
      <c r="D461" s="55" t="s">
        <v>332</v>
      </c>
      <c r="E461" s="55">
        <v>479.0</v>
      </c>
      <c r="F461" s="169">
        <v>7.801</v>
      </c>
      <c r="G461" s="170">
        <v>-3736.68</v>
      </c>
      <c r="H461" s="55" t="s">
        <v>904</v>
      </c>
      <c r="I461" s="171">
        <f t="shared" ref="I461:J461" si="466">IFS(AND($B461&lt;&gt;"",$E461&lt;&gt;""),IF(INDEX(N:N,MATCH($C461,$P:$P,0),1)&lt;&gt;"",$E461*INDEX(N:N,MATCH($C461,$P:$P,0),1)+$G461,""),AND($B461&lt;&gt;"",$D461="COST",$G461&lt;0),$G461,TRUE,)</f>
        <v>-201.66</v>
      </c>
      <c r="J461" s="171">
        <f t="shared" si="466"/>
        <v>-265.3651216</v>
      </c>
      <c r="K461" s="172" t="str">
        <f t="shared" si="3"/>
        <v>ETFS All Commodities ETC</v>
      </c>
      <c r="L461" s="173">
        <f t="shared" si="4"/>
        <v>11745</v>
      </c>
      <c r="M461" s="174">
        <f t="shared" si="5"/>
        <v>-84366.02</v>
      </c>
      <c r="N461" s="176" t="str">
        <f>IF($P461&lt;&gt;"",IF(MAXIFS(Investment!$M:$M,Investment!$H:$H,LEFT($P461,30)&amp;"*"),MAXIFS(Investment!$M:$M,Investment!$H:$H,LEFT($P461,30)&amp;"*"),),)</f>
        <v/>
      </c>
      <c r="O461" s="177" t="str">
        <f>IF($P461&lt;&gt;"",IF(MAXIFS(Investment!$AI:$AI,Investment!$H:$H,LEFT($P461,30)&amp;"*"),MAXIFS(Investment!$AI:$AI,Investment!$H:$H,LEFT($P461,30)&amp;"*"),),)</f>
        <v/>
      </c>
      <c r="P461" s="172"/>
      <c r="Q461" s="173"/>
      <c r="R461" s="171"/>
    </row>
    <row r="462">
      <c r="A462" s="165">
        <v>43255.0</v>
      </c>
      <c r="B462" s="55" t="s">
        <v>127</v>
      </c>
      <c r="C462" s="55" t="s">
        <v>128</v>
      </c>
      <c r="D462" s="55" t="s">
        <v>332</v>
      </c>
      <c r="E462" s="55">
        <v>23.0</v>
      </c>
      <c r="F462" s="169">
        <v>159.87</v>
      </c>
      <c r="G462" s="170">
        <v>-3677.01</v>
      </c>
      <c r="H462" s="55" t="s">
        <v>905</v>
      </c>
      <c r="I462" s="171">
        <f t="shared" ref="I462:J462" si="467">IFS(AND($B462&lt;&gt;"",$E462&lt;&gt;""),IF(INDEX(N:N,MATCH($C462,$P:$P,0),1)&lt;&gt;"",$E462*INDEX(N:N,MATCH($C462,$P:$P,0),1)+$G462,""),AND($B462&lt;&gt;"",$D462="COST",$G462&lt;0),$G462,TRUE,)</f>
        <v>584.2</v>
      </c>
      <c r="J462" s="171">
        <f t="shared" si="467"/>
        <v>389.2087059</v>
      </c>
      <c r="K462" s="172" t="str">
        <f t="shared" si="3"/>
        <v>iShares Treasury Bond 7-10 UCITS</v>
      </c>
      <c r="L462" s="173">
        <f t="shared" si="4"/>
        <v>547</v>
      </c>
      <c r="M462" s="174">
        <f t="shared" si="5"/>
        <v>-81771.76</v>
      </c>
      <c r="N462" s="176" t="str">
        <f>IF($P462&lt;&gt;"",IF(MAXIFS(Investment!$M:$M,Investment!$H:$H,LEFT($P462,30)&amp;"*"),MAXIFS(Investment!$M:$M,Investment!$H:$H,LEFT($P462,30)&amp;"*"),),)</f>
        <v/>
      </c>
      <c r="O462" s="177" t="str">
        <f>IF($P462&lt;&gt;"",IF(MAXIFS(Investment!$AI:$AI,Investment!$H:$H,LEFT($P462,30)&amp;"*"),MAXIFS(Investment!$AI:$AI,Investment!$H:$H,LEFT($P462,30)&amp;"*"),),)</f>
        <v/>
      </c>
      <c r="P462" s="172"/>
      <c r="Q462" s="173"/>
      <c r="R462" s="171"/>
    </row>
    <row r="463">
      <c r="A463" s="165">
        <v>43255.0</v>
      </c>
      <c r="B463" s="55" t="s">
        <v>138</v>
      </c>
      <c r="C463" s="308" t="s">
        <v>139</v>
      </c>
      <c r="D463" s="55" t="s">
        <v>332</v>
      </c>
      <c r="E463" s="55">
        <v>93.0</v>
      </c>
      <c r="F463" s="169">
        <v>44.55</v>
      </c>
      <c r="G463" s="170">
        <v>-4143.15</v>
      </c>
      <c r="H463" s="55" t="s">
        <v>906</v>
      </c>
      <c r="I463" s="171">
        <f t="shared" ref="I463:J463" si="468">IFS(AND($B463&lt;&gt;"",$E463&lt;&gt;""),IF(INDEX(N:N,MATCH($C463,$P:$P,0),1)&lt;&gt;"",$E463*INDEX(N:N,MATCH($C463,$P:$P,0),1)+$G463,""),AND($B463&lt;&gt;"",$D463="COST",$G463&lt;0),$G463,TRUE,)</f>
        <v>812.355</v>
      </c>
      <c r="J463" s="171">
        <f t="shared" si="468"/>
        <v>333.6639412</v>
      </c>
      <c r="K463" s="172" t="str">
        <f t="shared" si="3"/>
        <v>Vanguard S&amp;P 500 UCITS</v>
      </c>
      <c r="L463" s="173">
        <f t="shared" si="4"/>
        <v>3715</v>
      </c>
      <c r="M463" s="174">
        <f t="shared" si="5"/>
        <v>-151722.66</v>
      </c>
      <c r="N463" s="176" t="str">
        <f>IF($P463&lt;&gt;"",IF(MAXIFS(Investment!$M:$M,Investment!$H:$H,LEFT($P463,30)&amp;"*"),MAXIFS(Investment!$M:$M,Investment!$H:$H,LEFT($P463,30)&amp;"*"),),)</f>
        <v/>
      </c>
      <c r="O463" s="177" t="str">
        <f>IF($P463&lt;&gt;"",IF(MAXIFS(Investment!$AI:$AI,Investment!$H:$H,LEFT($P463,30)&amp;"*"),MAXIFS(Investment!$AI:$AI,Investment!$H:$H,LEFT($P463,30)&amp;"*"),),)</f>
        <v/>
      </c>
      <c r="P463" s="172"/>
      <c r="Q463" s="173"/>
      <c r="R463" s="171"/>
    </row>
    <row r="464">
      <c r="A464" s="165">
        <v>43255.0</v>
      </c>
      <c r="B464" s="55" t="s">
        <v>134</v>
      </c>
      <c r="C464" s="55" t="s">
        <v>710</v>
      </c>
      <c r="D464" s="55" t="s">
        <v>301</v>
      </c>
      <c r="F464" s="169"/>
      <c r="G464" s="170">
        <v>-2.96</v>
      </c>
      <c r="H464" s="55" t="s">
        <v>907</v>
      </c>
      <c r="I464" s="171">
        <f t="shared" ref="I464:J464" si="469">IFS(AND($B464&lt;&gt;"",$E464&lt;&gt;""),IF(INDEX(N:N,MATCH($C464,$P:$P,0),1)&lt;&gt;"",$E464*INDEX(N:N,MATCH($C464,$P:$P,0),1)+$G464,""),AND($B464&lt;&gt;"",$D464="COST",$G464&lt;0),$G464,TRUE,)</f>
        <v>-2.96</v>
      </c>
      <c r="J464" s="171">
        <f t="shared" si="469"/>
        <v>-2.96</v>
      </c>
      <c r="K464" s="172" t="str">
        <f t="shared" si="3"/>
        <v>iShares Treasury Bond 20+ UCITS USD Dist</v>
      </c>
      <c r="L464" s="173">
        <f t="shared" si="4"/>
        <v>0</v>
      </c>
      <c r="M464" s="174">
        <f t="shared" si="5"/>
        <v>27424.27</v>
      </c>
      <c r="N464" s="176" t="str">
        <f>IF($P464&lt;&gt;"",IF(MAXIFS(Investment!$M:$M,Investment!$H:$H,LEFT($P464,30)&amp;"*"),MAXIFS(Investment!$M:$M,Investment!$H:$H,LEFT($P464,30)&amp;"*"),),)</f>
        <v/>
      </c>
      <c r="O464" s="177" t="str">
        <f>IF($P464&lt;&gt;"",IF(MAXIFS(Investment!$AI:$AI,Investment!$H:$H,LEFT($P464,30)&amp;"*"),MAXIFS(Investment!$AI:$AI,Investment!$H:$H,LEFT($P464,30)&amp;"*"),),)</f>
        <v/>
      </c>
      <c r="P464" s="172"/>
      <c r="Q464" s="173"/>
      <c r="R464" s="171"/>
    </row>
    <row r="465">
      <c r="A465" s="165">
        <v>43255.0</v>
      </c>
      <c r="B465" s="55" t="s">
        <v>134</v>
      </c>
      <c r="C465" s="55" t="s">
        <v>710</v>
      </c>
      <c r="D465" s="55" t="s">
        <v>332</v>
      </c>
      <c r="E465" s="50">
        <v>1235.0</v>
      </c>
      <c r="F465" s="169">
        <v>3.881</v>
      </c>
      <c r="G465" s="170">
        <v>-4793.1</v>
      </c>
      <c r="H465" s="55" t="s">
        <v>908</v>
      </c>
      <c r="I465" s="171">
        <f t="shared" ref="I465:J465" si="470">IFS(AND($B465&lt;&gt;"",$E465&lt;&gt;""),IF(INDEX(N:N,MATCH($C465,$P:$P,0),1)&lt;&gt;"",$E465*INDEX(N:N,MATCH($C465,$P:$P,0),1)+$G465,""),AND($B465&lt;&gt;"",$D465="COST",$G465&lt;0),$G465,TRUE,)</f>
        <v>907.66</v>
      </c>
      <c r="J465" s="171">
        <f t="shared" si="470"/>
        <v>538.9386422</v>
      </c>
      <c r="K465" s="309" t="str">
        <f t="shared" si="3"/>
        <v>iShares Treasury Bond 20+ UCITS USD Dist</v>
      </c>
      <c r="L465" s="143">
        <f t="shared" si="4"/>
        <v>0</v>
      </c>
      <c r="M465" s="143">
        <f t="shared" si="5"/>
        <v>27424.27</v>
      </c>
      <c r="N465" s="176" t="str">
        <f>IF($P465&lt;&gt;"",IF(MAXIFS(Investment!$M:$M,Investment!$H:$H,LEFT($P465,30)&amp;"*"),MAXIFS(Investment!$M:$M,Investment!$H:$H,LEFT($P465,30)&amp;"*"),),)</f>
        <v/>
      </c>
      <c r="O465" s="177" t="str">
        <f>IF($P465&lt;&gt;"",IF(MAXIFS(Investment!$AI:$AI,Investment!$H:$H,LEFT($P465,30)&amp;"*"),MAXIFS(Investment!$AI:$AI,Investment!$H:$H,LEFT($P465,30)&amp;"*"),),)</f>
        <v/>
      </c>
      <c r="P465" s="172"/>
      <c r="Q465" s="173"/>
      <c r="R465" s="171"/>
    </row>
    <row r="466">
      <c r="A466" s="165">
        <v>43255.0</v>
      </c>
      <c r="B466" s="55" t="s">
        <v>138</v>
      </c>
      <c r="C466" s="308" t="s">
        <v>139</v>
      </c>
      <c r="D466" s="55" t="s">
        <v>332</v>
      </c>
      <c r="E466" s="55">
        <v>88.0</v>
      </c>
      <c r="F466" s="169">
        <v>44.539</v>
      </c>
      <c r="G466" s="170">
        <v>-3919.43</v>
      </c>
      <c r="H466" s="55" t="s">
        <v>909</v>
      </c>
      <c r="I466" s="171">
        <f t="shared" ref="I466:J466" si="471">IFS(AND($B466&lt;&gt;"",$E466&lt;&gt;""),IF(INDEX(N:N,MATCH($C466,$P:$P,0),1)&lt;&gt;"",$E466*INDEX(N:N,MATCH($C466,$P:$P,0),1)+$G466,""),AND($B466&lt;&gt;"",$D466="COST",$G466&lt;0),$G466,TRUE,)</f>
        <v>769.65</v>
      </c>
      <c r="J466" s="171">
        <f t="shared" si="471"/>
        <v>316.6950196</v>
      </c>
      <c r="K466" s="309" t="str">
        <f t="shared" si="3"/>
        <v>Vanguard S&amp;P 500 UCITS</v>
      </c>
      <c r="L466" s="143">
        <f t="shared" si="4"/>
        <v>3715</v>
      </c>
      <c r="M466" s="143">
        <f t="shared" si="5"/>
        <v>-151722.66</v>
      </c>
      <c r="N466" s="176" t="str">
        <f>IF($P466&lt;&gt;"",IF(MAXIFS(Investment!$M:$M,Investment!$H:$H,LEFT($P466,30)&amp;"*"),MAXIFS(Investment!$M:$M,Investment!$H:$H,LEFT($P466,30)&amp;"*"),),)</f>
        <v/>
      </c>
      <c r="O466" s="177" t="str">
        <f>IF($P466&lt;&gt;"",IF(MAXIFS(Investment!$AI:$AI,Investment!$H:$H,LEFT($P466,30)&amp;"*"),MAXIFS(Investment!$AI:$AI,Investment!$H:$H,LEFT($P466,30)&amp;"*"),),)</f>
        <v/>
      </c>
      <c r="P466" s="172"/>
      <c r="Q466" s="173"/>
      <c r="R466" s="171"/>
    </row>
    <row r="467">
      <c r="A467" s="165">
        <v>43255.0</v>
      </c>
      <c r="B467" s="55" t="s">
        <v>127</v>
      </c>
      <c r="C467" s="55" t="s">
        <v>128</v>
      </c>
      <c r="D467" s="55" t="s">
        <v>332</v>
      </c>
      <c r="E467" s="55">
        <v>13.0</v>
      </c>
      <c r="F467" s="169">
        <v>159.82</v>
      </c>
      <c r="G467" s="170">
        <v>-2077.66</v>
      </c>
      <c r="H467" s="55" t="s">
        <v>910</v>
      </c>
      <c r="I467" s="171">
        <f t="shared" ref="I467:J467" si="472">IFS(AND($B467&lt;&gt;"",$E467&lt;&gt;""),IF(INDEX(N:N,MATCH($C467,$P:$P,0),1)&lt;&gt;"",$E467*INDEX(N:N,MATCH($C467,$P:$P,0),1)+$G467,""),AND($B467&lt;&gt;"",$D467="COST",$G467&lt;0),$G467,TRUE,)</f>
        <v>330.85</v>
      </c>
      <c r="J467" s="171">
        <f t="shared" si="472"/>
        <v>220.6375294</v>
      </c>
      <c r="K467" s="309" t="str">
        <f t="shared" si="3"/>
        <v>iShares Treasury Bond 7-10 UCITS</v>
      </c>
      <c r="L467" s="143">
        <f t="shared" si="4"/>
        <v>547</v>
      </c>
      <c r="M467" s="143">
        <f t="shared" si="5"/>
        <v>-81771.76</v>
      </c>
      <c r="N467" s="176" t="str">
        <f>IF($P467&lt;&gt;"",IF(MAXIFS(Investment!$M:$M,Investment!$H:$H,LEFT($P467,30)&amp;"*"),MAXIFS(Investment!$M:$M,Investment!$H:$H,LEFT($P467,30)&amp;"*"),),)</f>
        <v/>
      </c>
      <c r="O467" s="177" t="str">
        <f>IF($P467&lt;&gt;"",IF(MAXIFS(Investment!$AI:$AI,Investment!$H:$H,LEFT($P467,30)&amp;"*"),MAXIFS(Investment!$AI:$AI,Investment!$H:$H,LEFT($P467,30)&amp;"*"),),)</f>
        <v/>
      </c>
      <c r="P467" s="172"/>
      <c r="Q467" s="173"/>
      <c r="R467" s="171"/>
    </row>
    <row r="468">
      <c r="A468" s="165">
        <v>43255.0</v>
      </c>
      <c r="B468" s="55" t="s">
        <v>122</v>
      </c>
      <c r="C468" s="308" t="s">
        <v>123</v>
      </c>
      <c r="D468" s="55" t="s">
        <v>332</v>
      </c>
      <c r="E468" s="55">
        <v>11.0</v>
      </c>
      <c r="F468" s="169">
        <v>105.72</v>
      </c>
      <c r="G468" s="170">
        <v>-1162.92</v>
      </c>
      <c r="H468" s="55" t="s">
        <v>911</v>
      </c>
      <c r="I468" s="171">
        <f t="shared" ref="I468:J468" si="473">IFS(AND($B468&lt;&gt;"",$E468&lt;&gt;""),IF(INDEX(N:N,MATCH($C468,$P:$P,0),1)&lt;&gt;"",$E468*INDEX(N:N,MATCH($C468,$P:$P,0),1)+$G468,""),AND($B468&lt;&gt;"",$D468="COST",$G468&lt;0),$G468,TRUE,)</f>
        <v>218.9</v>
      </c>
      <c r="J468" s="171">
        <f t="shared" si="473"/>
        <v>112.0481569</v>
      </c>
      <c r="K468" s="309" t="str">
        <f t="shared" si="3"/>
        <v>ETFS Physical Gold</v>
      </c>
      <c r="L468" s="143">
        <f t="shared" si="4"/>
        <v>353</v>
      </c>
      <c r="M468" s="143">
        <f t="shared" si="5"/>
        <v>-33586.49</v>
      </c>
      <c r="N468" s="176" t="str">
        <f>IF($P468&lt;&gt;"",IF(MAXIFS(Investment!$M:$M,Investment!$H:$H,LEFT($P468,30)&amp;"*"),MAXIFS(Investment!$M:$M,Investment!$H:$H,LEFT($P468,30)&amp;"*"),),)</f>
        <v/>
      </c>
      <c r="O468" s="177" t="str">
        <f>IF($P468&lt;&gt;"",IF(MAXIFS(Investment!$AI:$AI,Investment!$H:$H,LEFT($P468,30)&amp;"*"),MAXIFS(Investment!$AI:$AI,Investment!$H:$H,LEFT($P468,30)&amp;"*"),),)</f>
        <v/>
      </c>
      <c r="P468" s="172"/>
      <c r="Q468" s="173"/>
      <c r="R468" s="171"/>
    </row>
    <row r="469">
      <c r="A469" s="165">
        <v>43251.0</v>
      </c>
      <c r="B469" s="166" t="s">
        <v>127</v>
      </c>
      <c r="C469" s="167" t="s">
        <v>128</v>
      </c>
      <c r="D469" s="168" t="s">
        <v>307</v>
      </c>
      <c r="E469" s="168"/>
      <c r="F469" s="169"/>
      <c r="G469" s="170">
        <v>471.2</v>
      </c>
      <c r="H469" s="167" t="s">
        <v>912</v>
      </c>
      <c r="I469" s="171" t="str">
        <f t="shared" ref="I469:J469" si="474">IFS(AND($B469&lt;&gt;"",$E469&lt;&gt;""),IF(INDEX(N:N,MATCH($C469,$P:$P,0),1)&lt;&gt;"",$E469*INDEX(N:N,MATCH($C469,$P:$P,0),1)+$G469,""),AND($B469&lt;&gt;"",$D469="COST",$G469&lt;0),$G469,TRUE,)</f>
        <v/>
      </c>
      <c r="J469" s="171" t="str">
        <f t="shared" si="474"/>
        <v/>
      </c>
      <c r="K469" s="309" t="str">
        <f t="shared" si="3"/>
        <v>iShares Treasury Bond 7-10 UCITS</v>
      </c>
      <c r="L469" s="143">
        <f t="shared" si="4"/>
        <v>547</v>
      </c>
      <c r="M469" s="143">
        <f t="shared" si="5"/>
        <v>-81771.76</v>
      </c>
      <c r="N469" s="176" t="str">
        <f>IF($P469&lt;&gt;"",IF(MAXIFS(Investment!$M:$M,Investment!$H:$H,LEFT($P469,30)&amp;"*"),MAXIFS(Investment!$M:$M,Investment!$H:$H,LEFT($P469,30)&amp;"*"),),)</f>
        <v/>
      </c>
      <c r="O469" s="177" t="str">
        <f>IF($P469&lt;&gt;"",IF(MAXIFS(Investment!$AI:$AI,Investment!$H:$H,LEFT($P469,30)&amp;"*"),MAXIFS(Investment!$AI:$AI,Investment!$H:$H,LEFT($P469,30)&amp;"*"),),)</f>
        <v/>
      </c>
      <c r="P469" s="172"/>
      <c r="Q469" s="173"/>
      <c r="R469" s="171"/>
    </row>
    <row r="470">
      <c r="A470" s="165">
        <v>43251.0</v>
      </c>
      <c r="B470" s="166" t="s">
        <v>127</v>
      </c>
      <c r="C470" s="167" t="s">
        <v>128</v>
      </c>
      <c r="D470" s="168" t="s">
        <v>307</v>
      </c>
      <c r="E470" s="168"/>
      <c r="F470" s="169"/>
      <c r="G470" s="170">
        <v>-68.59</v>
      </c>
      <c r="H470" s="167" t="s">
        <v>913</v>
      </c>
      <c r="I470" s="171" t="str">
        <f t="shared" ref="I470:J470" si="475">IFS(AND($B470&lt;&gt;"",$E470&lt;&gt;""),IF(INDEX(N:N,MATCH($C470,$P:$P,0),1)&lt;&gt;"",$E470*INDEX(N:N,MATCH($C470,$P:$P,0),1)+$G470,""),AND($B470&lt;&gt;"",$D470="COST",$G470&lt;0),$G470,TRUE,)</f>
        <v/>
      </c>
      <c r="J470" s="171" t="str">
        <f t="shared" si="475"/>
        <v/>
      </c>
      <c r="K470" s="309" t="str">
        <f t="shared" si="3"/>
        <v>iShares Treasury Bond 7-10 UCITS</v>
      </c>
      <c r="L470" s="143">
        <f t="shared" si="4"/>
        <v>547</v>
      </c>
      <c r="M470" s="143">
        <f t="shared" si="5"/>
        <v>-81771.76</v>
      </c>
      <c r="N470" s="176" t="str">
        <f>IF($P470&lt;&gt;"",IF(MAXIFS(Investment!$M:$M,Investment!$H:$H,LEFT($P470,30)&amp;"*"),MAXIFS(Investment!$M:$M,Investment!$H:$H,LEFT($P470,30)&amp;"*"),),)</f>
        <v/>
      </c>
      <c r="O470" s="177" t="str">
        <f>IF($P470&lt;&gt;"",IF(MAXIFS(Investment!$AI:$AI,Investment!$H:$H,LEFT($P470,30)&amp;"*"),MAXIFS(Investment!$AI:$AI,Investment!$H:$H,LEFT($P470,30)&amp;"*"),),)</f>
        <v/>
      </c>
      <c r="P470" s="172"/>
      <c r="Q470" s="173"/>
      <c r="R470" s="171"/>
    </row>
    <row r="471">
      <c r="A471" s="165">
        <v>43251.0</v>
      </c>
      <c r="B471" s="166"/>
      <c r="C471" s="167"/>
      <c r="D471" s="168" t="s">
        <v>301</v>
      </c>
      <c r="E471" s="168"/>
      <c r="F471" s="169"/>
      <c r="G471" s="170">
        <v>-161.46</v>
      </c>
      <c r="H471" s="167" t="s">
        <v>914</v>
      </c>
      <c r="I471" s="171" t="str">
        <f t="shared" ref="I471:J471" si="476">IFS(AND($B471&lt;&gt;"",$E471&lt;&gt;""),IF(INDEX(N:N,MATCH($C471,$P:$P,0),1)&lt;&gt;"",$E471*INDEX(N:N,MATCH($C471,$P:$P,0),1)+$G471,""),AND($B471&lt;&gt;"",$D471="COST",$G471&lt;0),$G471,TRUE,)</f>
        <v/>
      </c>
      <c r="J471" s="171" t="str">
        <f t="shared" si="476"/>
        <v/>
      </c>
      <c r="K471" s="309" t="str">
        <f t="shared" si="3"/>
        <v/>
      </c>
      <c r="L471" s="143" t="str">
        <f t="shared" si="4"/>
        <v/>
      </c>
      <c r="M471" s="143" t="str">
        <f t="shared" si="5"/>
        <v/>
      </c>
      <c r="N471" s="176" t="str">
        <f>IF($P471&lt;&gt;"",IF(MAXIFS(Investment!$M:$M,Investment!$H:$H,LEFT($P471,30)&amp;"*"),MAXIFS(Investment!$M:$M,Investment!$H:$H,LEFT($P471,30)&amp;"*"),),)</f>
        <v/>
      </c>
      <c r="O471" s="177" t="str">
        <f>IF($P471&lt;&gt;"",IF(MAXIFS(Investment!$AI:$AI,Investment!$H:$H,LEFT($P471,30)&amp;"*"),MAXIFS(Investment!$AI:$AI,Investment!$H:$H,LEFT($P471,30)&amp;"*"),),)</f>
        <v/>
      </c>
      <c r="P471" s="172"/>
      <c r="Q471" s="173"/>
      <c r="R471" s="171"/>
    </row>
    <row r="472">
      <c r="A472" s="165">
        <v>43251.0</v>
      </c>
      <c r="B472" s="166"/>
      <c r="C472" s="167"/>
      <c r="D472" s="168" t="s">
        <v>301</v>
      </c>
      <c r="E472" s="168"/>
      <c r="F472" s="169"/>
      <c r="G472" s="170">
        <v>-2.5</v>
      </c>
      <c r="H472" s="167" t="s">
        <v>678</v>
      </c>
      <c r="I472" s="171" t="str">
        <f t="shared" ref="I472:J472" si="477">IFS(AND($B472&lt;&gt;"",$E472&lt;&gt;""),IF(INDEX(N:N,MATCH($C472,$P:$P,0),1)&lt;&gt;"",$E472*INDEX(N:N,MATCH($C472,$P:$P,0),1)+$G472,""),AND($B472&lt;&gt;"",$D472="COST",$G472&lt;0),$G472,TRUE,)</f>
        <v/>
      </c>
      <c r="J472" s="171" t="str">
        <f t="shared" si="477"/>
        <v/>
      </c>
      <c r="K472" s="309" t="str">
        <f t="shared" si="3"/>
        <v/>
      </c>
      <c r="L472" s="143" t="str">
        <f t="shared" si="4"/>
        <v/>
      </c>
      <c r="M472" s="143" t="str">
        <f t="shared" si="5"/>
        <v/>
      </c>
      <c r="N472" s="176" t="str">
        <f>IF($P472&lt;&gt;"",IF(MAXIFS(Investment!$M:$M,Investment!$H:$H,LEFT($P472,30)&amp;"*"),MAXIFS(Investment!$M:$M,Investment!$H:$H,LEFT($P472,30)&amp;"*"),),)</f>
        <v/>
      </c>
      <c r="O472" s="177" t="str">
        <f>IF($P472&lt;&gt;"",IF(MAXIFS(Investment!$AI:$AI,Investment!$H:$H,LEFT($P472,30)&amp;"*"),MAXIFS(Investment!$AI:$AI,Investment!$H:$H,LEFT($P472,30)&amp;"*"),),)</f>
        <v/>
      </c>
      <c r="P472" s="172"/>
      <c r="Q472" s="173"/>
      <c r="R472" s="171"/>
    </row>
    <row r="473">
      <c r="A473" s="165">
        <v>43224.0</v>
      </c>
      <c r="B473" s="166" t="s">
        <v>127</v>
      </c>
      <c r="C473" s="167" t="s">
        <v>132</v>
      </c>
      <c r="D473" s="168" t="s">
        <v>307</v>
      </c>
      <c r="E473" s="168"/>
      <c r="F473" s="169"/>
      <c r="G473" s="170">
        <v>7.5</v>
      </c>
      <c r="H473" s="167" t="s">
        <v>915</v>
      </c>
      <c r="I473" s="171" t="str">
        <f t="shared" ref="I473:J473" si="478">IFS(AND($B473&lt;&gt;"",$E473&lt;&gt;""),IF(INDEX(N:N,MATCH($C473,$P:$P,0),1)&lt;&gt;"",$E473*INDEX(N:N,MATCH($C473,$P:$P,0),1)+$G473,""),AND($B473&lt;&gt;"",$D473="COST",$G473&lt;0),$G473,TRUE,)</f>
        <v/>
      </c>
      <c r="J473" s="171" t="str">
        <f t="shared" si="478"/>
        <v/>
      </c>
      <c r="K473" s="309" t="str">
        <f t="shared" si="3"/>
        <v>Vanguard Intermediate-Term Treasury ETF</v>
      </c>
      <c r="L473" s="143">
        <f t="shared" si="4"/>
        <v>0</v>
      </c>
      <c r="M473" s="143">
        <f t="shared" si="5"/>
        <v>-1799.24</v>
      </c>
      <c r="N473" s="176" t="str">
        <f>IF($P473&lt;&gt;"",IF(MAXIFS(Investment!$M:$M,Investment!$H:$H,LEFT($P473,30)&amp;"*"),MAXIFS(Investment!$M:$M,Investment!$H:$H,LEFT($P473,30)&amp;"*"),),)</f>
        <v/>
      </c>
      <c r="O473" s="177" t="str">
        <f>IF($P473&lt;&gt;"",IF(MAXIFS(Investment!$AI:$AI,Investment!$H:$H,LEFT($P473,30)&amp;"*"),MAXIFS(Investment!$AI:$AI,Investment!$H:$H,LEFT($P473,30)&amp;"*"),),)</f>
        <v/>
      </c>
      <c r="P473" s="172"/>
      <c r="Q473" s="173"/>
      <c r="R473" s="171"/>
    </row>
    <row r="474">
      <c r="A474" s="165">
        <v>43224.0</v>
      </c>
      <c r="B474" s="166" t="s">
        <v>127</v>
      </c>
      <c r="C474" s="167" t="s">
        <v>132</v>
      </c>
      <c r="D474" s="168" t="s">
        <v>307</v>
      </c>
      <c r="E474" s="168"/>
      <c r="F474" s="169"/>
      <c r="G474" s="170">
        <v>-7.01</v>
      </c>
      <c r="H474" s="167" t="s">
        <v>916</v>
      </c>
      <c r="I474" s="171" t="str">
        <f t="shared" ref="I474:J474" si="479">IFS(AND($B474&lt;&gt;"",$E474&lt;&gt;""),IF(INDEX(N:N,MATCH($C474,$P:$P,0),1)&lt;&gt;"",$E474*INDEX(N:N,MATCH($C474,$P:$P,0),1)+$G474,""),AND($B474&lt;&gt;"",$D474="COST",$G474&lt;0),$G474,TRUE,)</f>
        <v/>
      </c>
      <c r="J474" s="171" t="str">
        <f t="shared" si="479"/>
        <v/>
      </c>
      <c r="K474" s="309" t="str">
        <f t="shared" si="3"/>
        <v>Vanguard Intermediate-Term Treasury ETF</v>
      </c>
      <c r="L474" s="143">
        <f t="shared" si="4"/>
        <v>0</v>
      </c>
      <c r="M474" s="143">
        <f t="shared" si="5"/>
        <v>-1799.24</v>
      </c>
      <c r="N474" s="176" t="str">
        <f>IF($P474&lt;&gt;"",IF(MAXIFS(Investment!$M:$M,Investment!$H:$H,LEFT($P474,30)&amp;"*"),MAXIFS(Investment!$M:$M,Investment!$H:$H,LEFT($P474,30)&amp;"*"),),)</f>
        <v/>
      </c>
      <c r="O474" s="177" t="str">
        <f>IF($P474&lt;&gt;"",IF(MAXIFS(Investment!$AI:$AI,Investment!$H:$H,LEFT($P474,30)&amp;"*"),MAXIFS(Investment!$AI:$AI,Investment!$H:$H,LEFT($P474,30)&amp;"*"),),)</f>
        <v/>
      </c>
      <c r="P474" s="172"/>
      <c r="Q474" s="173"/>
      <c r="R474" s="171"/>
    </row>
    <row r="475">
      <c r="A475" s="165">
        <v>43224.0</v>
      </c>
      <c r="B475" s="166" t="s">
        <v>127</v>
      </c>
      <c r="C475" s="167" t="s">
        <v>132</v>
      </c>
      <c r="D475" s="168" t="s">
        <v>307</v>
      </c>
      <c r="E475" s="168"/>
      <c r="F475" s="169"/>
      <c r="G475" s="170">
        <v>42.49</v>
      </c>
      <c r="H475" s="167" t="s">
        <v>917</v>
      </c>
      <c r="I475" s="171" t="str">
        <f t="shared" ref="I475:J475" si="480">IFS(AND($B475&lt;&gt;"",$E475&lt;&gt;""),IF(INDEX(N:N,MATCH($C475,$P:$P,0),1)&lt;&gt;"",$E475*INDEX(N:N,MATCH($C475,$P:$P,0),1)+$G475,""),AND($B475&lt;&gt;"",$D475="COST",$G475&lt;0),$G475,TRUE,)</f>
        <v/>
      </c>
      <c r="J475" s="171" t="str">
        <f t="shared" si="480"/>
        <v/>
      </c>
      <c r="K475" s="309" t="str">
        <f t="shared" si="3"/>
        <v>Vanguard Intermediate-Term Treasury ETF</v>
      </c>
      <c r="L475" s="143">
        <f t="shared" si="4"/>
        <v>0</v>
      </c>
      <c r="M475" s="143">
        <f t="shared" si="5"/>
        <v>-1799.24</v>
      </c>
      <c r="N475" s="176" t="str">
        <f>IF($P475&lt;&gt;"",IF(MAXIFS(Investment!$M:$M,Investment!$H:$H,LEFT($P475,30)&amp;"*"),MAXIFS(Investment!$M:$M,Investment!$H:$H,LEFT($P475,30)&amp;"*"),),)</f>
        <v/>
      </c>
      <c r="O475" s="177" t="str">
        <f>IF($P475&lt;&gt;"",IF(MAXIFS(Investment!$AI:$AI,Investment!$H:$H,LEFT($P475,30)&amp;"*"),MAXIFS(Investment!$AI:$AI,Investment!$H:$H,LEFT($P475,30)&amp;"*"),),)</f>
        <v/>
      </c>
      <c r="P475" s="172"/>
      <c r="Q475" s="173"/>
      <c r="R475" s="171"/>
    </row>
    <row r="476">
      <c r="A476" s="165">
        <v>43224.0</v>
      </c>
      <c r="B476" s="166" t="s">
        <v>134</v>
      </c>
      <c r="C476" s="55" t="s">
        <v>710</v>
      </c>
      <c r="D476" s="168" t="s">
        <v>301</v>
      </c>
      <c r="E476" s="168"/>
      <c r="F476" s="169"/>
      <c r="G476" s="170">
        <v>-5.42</v>
      </c>
      <c r="H476" s="167" t="s">
        <v>918</v>
      </c>
      <c r="I476" s="171">
        <f t="shared" ref="I476:J476" si="481">IFS(AND($B476&lt;&gt;"",$E476&lt;&gt;""),IF(INDEX(N:N,MATCH($C476,$P:$P,0),1)&lt;&gt;"",$E476*INDEX(N:N,MATCH($C476,$P:$P,0),1)+$G476,""),AND($B476&lt;&gt;"",$D476="COST",$G476&lt;0),$G476,TRUE,)</f>
        <v>-5.42</v>
      </c>
      <c r="J476" s="171">
        <f t="shared" si="481"/>
        <v>-5.42</v>
      </c>
      <c r="K476" s="309" t="str">
        <f t="shared" si="3"/>
        <v>iShares Treasury Bond 20+ UCITS USD Dist</v>
      </c>
      <c r="L476" s="143">
        <f t="shared" si="4"/>
        <v>0</v>
      </c>
      <c r="M476" s="143">
        <f t="shared" si="5"/>
        <v>27424.27</v>
      </c>
      <c r="N476" s="176" t="str">
        <f>IF($P476&lt;&gt;"",IF(MAXIFS(Investment!$M:$M,Investment!$H:$H,LEFT($P476,30)&amp;"*"),MAXIFS(Investment!$M:$M,Investment!$H:$H,LEFT($P476,30)&amp;"*"),),)</f>
        <v/>
      </c>
      <c r="O476" s="177" t="str">
        <f>IF($P476&lt;&gt;"",IF(MAXIFS(Investment!$AI:$AI,Investment!$H:$H,LEFT($P476,30)&amp;"*"),MAXIFS(Investment!$AI:$AI,Investment!$H:$H,LEFT($P476,30)&amp;"*"),),)</f>
        <v/>
      </c>
      <c r="P476" s="172"/>
      <c r="Q476" s="173"/>
      <c r="R476" s="171"/>
    </row>
    <row r="477">
      <c r="A477" s="165">
        <v>43224.0</v>
      </c>
      <c r="B477" s="166" t="s">
        <v>134</v>
      </c>
      <c r="C477" s="55" t="s">
        <v>710</v>
      </c>
      <c r="D477" s="168" t="s">
        <v>332</v>
      </c>
      <c r="E477" s="168">
        <v>4546.0</v>
      </c>
      <c r="F477" s="169">
        <v>3.767</v>
      </c>
      <c r="G477" s="170">
        <v>-17125.03</v>
      </c>
      <c r="H477" s="167" t="s">
        <v>919</v>
      </c>
      <c r="I477" s="171">
        <f t="shared" ref="I477:J477" si="482">IFS(AND($B477&lt;&gt;"",$E477&lt;&gt;""),IF(INDEX(N:N,MATCH($C477,$P:$P,0),1)&lt;&gt;"",$E477*INDEX(N:N,MATCH($C477,$P:$P,0),1)+$G477,""),AND($B477&lt;&gt;"",$D477="COST",$G477&lt;0),$G477,TRUE,)</f>
        <v>3859.306</v>
      </c>
      <c r="J477" s="171">
        <f t="shared" si="482"/>
        <v>2502.053131</v>
      </c>
      <c r="K477" s="309" t="str">
        <f t="shared" si="3"/>
        <v>iShares Treasury Bond 20+ UCITS USD Dist</v>
      </c>
      <c r="L477" s="143">
        <f t="shared" si="4"/>
        <v>0</v>
      </c>
      <c r="M477" s="143">
        <f t="shared" si="5"/>
        <v>27424.27</v>
      </c>
      <c r="N477" s="176" t="str">
        <f>IF($P477&lt;&gt;"",IF(MAXIFS(Investment!$M:$M,Investment!$H:$H,LEFT($P477,30)&amp;"*"),MAXIFS(Investment!$M:$M,Investment!$H:$H,LEFT($P477,30)&amp;"*"),),)</f>
        <v/>
      </c>
      <c r="O477" s="177" t="str">
        <f>IF($P477&lt;&gt;"",IF(MAXIFS(Investment!$AI:$AI,Investment!$H:$H,LEFT($P477,30)&amp;"*"),MAXIFS(Investment!$AI:$AI,Investment!$H:$H,LEFT($P477,30)&amp;"*"),),)</f>
        <v/>
      </c>
      <c r="P477" s="172"/>
      <c r="Q477" s="173"/>
      <c r="R477" s="171"/>
    </row>
    <row r="478">
      <c r="A478" s="165">
        <v>43224.0</v>
      </c>
      <c r="B478" s="166" t="s">
        <v>127</v>
      </c>
      <c r="C478" s="55" t="s">
        <v>128</v>
      </c>
      <c r="D478" s="168" t="s">
        <v>332</v>
      </c>
      <c r="E478" s="168">
        <v>19.0</v>
      </c>
      <c r="F478" s="169">
        <v>158.01</v>
      </c>
      <c r="G478" s="170">
        <v>-3002.19</v>
      </c>
      <c r="H478" s="167" t="s">
        <v>920</v>
      </c>
      <c r="I478" s="171">
        <f t="shared" ref="I478:J478" si="483">IFS(AND($B478&lt;&gt;"",$E478&lt;&gt;""),IF(INDEX(N:N,MATCH($C478,$P:$P,0),1)&lt;&gt;"",$E478*INDEX(N:N,MATCH($C478,$P:$P,0),1)+$G478,""),AND($B478&lt;&gt;"",$D478="COST",$G478&lt;0),$G478,TRUE,)</f>
        <v>517.94</v>
      </c>
      <c r="J478" s="171">
        <f t="shared" si="483"/>
        <v>356.8602353</v>
      </c>
      <c r="K478" s="309" t="str">
        <f t="shared" si="3"/>
        <v>iShares Treasury Bond 7-10 UCITS</v>
      </c>
      <c r="L478" s="143">
        <f t="shared" si="4"/>
        <v>547</v>
      </c>
      <c r="M478" s="143">
        <f t="shared" si="5"/>
        <v>-81771.76</v>
      </c>
      <c r="N478" s="176" t="str">
        <f>IF($P478&lt;&gt;"",IF(MAXIFS(Investment!$M:$M,Investment!$H:$H,LEFT($P478,30)&amp;"*"),MAXIFS(Investment!$M:$M,Investment!$H:$H,LEFT($P478,30)&amp;"*"),),)</f>
        <v/>
      </c>
      <c r="O478" s="177" t="str">
        <f>IF($P478&lt;&gt;"",IF(MAXIFS(Investment!$AI:$AI,Investment!$H:$H,LEFT($P478,30)&amp;"*"),MAXIFS(Investment!$AI:$AI,Investment!$H:$H,LEFT($P478,30)&amp;"*"),),)</f>
        <v/>
      </c>
      <c r="P478" s="172"/>
      <c r="Q478" s="173"/>
      <c r="R478" s="171"/>
    </row>
    <row r="479">
      <c r="A479" s="165">
        <v>43224.0</v>
      </c>
      <c r="B479" s="166" t="s">
        <v>134</v>
      </c>
      <c r="C479" s="167" t="s">
        <v>137</v>
      </c>
      <c r="D479" s="168" t="s">
        <v>280</v>
      </c>
      <c r="E479" s="168">
        <v>-707.0</v>
      </c>
      <c r="F479" s="169">
        <v>93.145</v>
      </c>
      <c r="G479" s="170">
        <v>65853.53</v>
      </c>
      <c r="H479" s="167" t="s">
        <v>921</v>
      </c>
      <c r="I479" s="171" t="str">
        <f t="shared" ref="I479:J479" si="484">IFS(AND($B479&lt;&gt;"",$E479&lt;&gt;""),IF(INDEX(N:N,MATCH($C479,$P:$P,0),1)&lt;&gt;"",$E479*INDEX(N:N,MATCH($C479,$P:$P,0),1)+$G479,""),AND($B479&lt;&gt;"",$D479="COST",$G479&lt;0),$G479,TRUE,)</f>
        <v/>
      </c>
      <c r="J479" s="171" t="str">
        <f t="shared" si="484"/>
        <v/>
      </c>
      <c r="K479" s="309" t="str">
        <f t="shared" si="3"/>
        <v>Vanguard Extended Duration Treasury ETF</v>
      </c>
      <c r="L479" s="143">
        <f t="shared" si="4"/>
        <v>0</v>
      </c>
      <c r="M479" s="143">
        <f t="shared" si="5"/>
        <v>-4857.35</v>
      </c>
      <c r="N479" s="176" t="str">
        <f>IF($P479&lt;&gt;"",IF(MAXIFS(Investment!$M:$M,Investment!$H:$H,LEFT($P479,30)&amp;"*"),MAXIFS(Investment!$M:$M,Investment!$H:$H,LEFT($P479,30)&amp;"*"),),)</f>
        <v/>
      </c>
      <c r="O479" s="177" t="str">
        <f>IF($P479&lt;&gt;"",IF(MAXIFS(Investment!$AI:$AI,Investment!$H:$H,LEFT($P479,30)&amp;"*"),MAXIFS(Investment!$AI:$AI,Investment!$H:$H,LEFT($P479,30)&amp;"*"),),)</f>
        <v/>
      </c>
      <c r="P479" s="172"/>
      <c r="Q479" s="173"/>
      <c r="R479" s="171"/>
    </row>
    <row r="480">
      <c r="A480" s="165">
        <v>43224.0</v>
      </c>
      <c r="B480" s="166" t="s">
        <v>134</v>
      </c>
      <c r="C480" s="55" t="s">
        <v>710</v>
      </c>
      <c r="D480" s="168" t="s">
        <v>301</v>
      </c>
      <c r="E480" s="168"/>
      <c r="F480" s="169"/>
      <c r="G480" s="170">
        <v>-17.04</v>
      </c>
      <c r="H480" s="167" t="s">
        <v>922</v>
      </c>
      <c r="I480" s="171">
        <f t="shared" ref="I480:J480" si="485">IFS(AND($B480&lt;&gt;"",$E480&lt;&gt;""),IF(INDEX(N:N,MATCH($C480,$P:$P,0),1)&lt;&gt;"",$E480*INDEX(N:N,MATCH($C480,$P:$P,0),1)+$G480,""),AND($B480&lt;&gt;"",$D480="COST",$G480&lt;0),$G480,TRUE,)</f>
        <v>-17.04</v>
      </c>
      <c r="J480" s="171">
        <f t="shared" si="485"/>
        <v>-17.04</v>
      </c>
      <c r="K480" s="309" t="str">
        <f t="shared" si="3"/>
        <v>iShares Treasury Bond 20+ UCITS USD Dist</v>
      </c>
      <c r="L480" s="143">
        <f t="shared" si="4"/>
        <v>0</v>
      </c>
      <c r="M480" s="143">
        <f t="shared" si="5"/>
        <v>27424.27</v>
      </c>
      <c r="N480" s="176" t="str">
        <f>IF($P480&lt;&gt;"",IF(MAXIFS(Investment!$M:$M,Investment!$H:$H,LEFT($P480,30)&amp;"*"),MAXIFS(Investment!$M:$M,Investment!$H:$H,LEFT($P480,30)&amp;"*"),),)</f>
        <v/>
      </c>
      <c r="O480" s="177" t="str">
        <f>IF($P480&lt;&gt;"",IF(MAXIFS(Investment!$AI:$AI,Investment!$H:$H,LEFT($P480,30)&amp;"*"),MAXIFS(Investment!$AI:$AI,Investment!$H:$H,LEFT($P480,30)&amp;"*"),),)</f>
        <v/>
      </c>
      <c r="P480" s="172"/>
      <c r="Q480" s="173"/>
      <c r="R480" s="171"/>
    </row>
    <row r="481">
      <c r="A481" s="165">
        <v>43224.0</v>
      </c>
      <c r="B481" s="166" t="s">
        <v>134</v>
      </c>
      <c r="C481" s="55" t="s">
        <v>710</v>
      </c>
      <c r="D481" s="168" t="s">
        <v>332</v>
      </c>
      <c r="E481" s="168">
        <v>20019.0</v>
      </c>
      <c r="F481" s="169">
        <v>3.758</v>
      </c>
      <c r="G481" s="170">
        <v>-75232.62</v>
      </c>
      <c r="H481" s="167" t="s">
        <v>923</v>
      </c>
      <c r="I481" s="171">
        <f t="shared" ref="I481:J481" si="486">IFS(AND($B481&lt;&gt;"",$E481&lt;&gt;""),IF(INDEX(N:N,MATCH($C481,$P:$P,0),1)&lt;&gt;"",$E481*INDEX(N:N,MATCH($C481,$P:$P,0),1)+$G481,""),AND($B481&lt;&gt;"",$D481="COST",$G481&lt;0),$G481,TRUE,)</f>
        <v>17175.084</v>
      </c>
      <c r="J481" s="171">
        <f t="shared" si="486"/>
        <v>11198.21529</v>
      </c>
      <c r="K481" s="309" t="str">
        <f t="shared" si="3"/>
        <v>iShares Treasury Bond 20+ UCITS USD Dist</v>
      </c>
      <c r="L481" s="143">
        <f t="shared" si="4"/>
        <v>0</v>
      </c>
      <c r="M481" s="143">
        <f t="shared" si="5"/>
        <v>27424.27</v>
      </c>
      <c r="N481" s="176" t="str">
        <f>IF($P481&lt;&gt;"",IF(MAXIFS(Investment!$M:$M,Investment!$H:$H,LEFT($P481,30)&amp;"*"),MAXIFS(Investment!$M:$M,Investment!$H:$H,LEFT($P481,30)&amp;"*"),),)</f>
        <v/>
      </c>
      <c r="O481" s="177" t="str">
        <f>IF($P481&lt;&gt;"",IF(MAXIFS(Investment!$AI:$AI,Investment!$H:$H,LEFT($P481,30)&amp;"*"),MAXIFS(Investment!$AI:$AI,Investment!$H:$H,LEFT($P481,30)&amp;"*"),),)</f>
        <v/>
      </c>
      <c r="P481" s="172"/>
      <c r="Q481" s="173"/>
      <c r="R481" s="171"/>
    </row>
    <row r="482">
      <c r="A482" s="165">
        <v>43224.0</v>
      </c>
      <c r="B482" s="166" t="s">
        <v>138</v>
      </c>
      <c r="C482" s="167" t="s">
        <v>139</v>
      </c>
      <c r="D482" s="168" t="s">
        <v>332</v>
      </c>
      <c r="E482" s="168">
        <v>85.0</v>
      </c>
      <c r="F482" s="169">
        <v>42.11</v>
      </c>
      <c r="G482" s="170">
        <v>-3579.35</v>
      </c>
      <c r="H482" s="167" t="s">
        <v>924</v>
      </c>
      <c r="I482" s="171">
        <f t="shared" ref="I482:J482" si="487">IFS(AND($B482&lt;&gt;"",$E482&lt;&gt;""),IF(INDEX(N:N,MATCH($C482,$P:$P,0),1)&lt;&gt;"",$E482*INDEX(N:N,MATCH($C482,$P:$P,0),1)+$G482,""),AND($B482&lt;&gt;"",$D482="COST",$G482&lt;0),$G482,TRUE,)</f>
        <v>949.875</v>
      </c>
      <c r="J482" s="171">
        <f t="shared" si="487"/>
        <v>512.3616667</v>
      </c>
      <c r="K482" s="309" t="str">
        <f t="shared" si="3"/>
        <v>Vanguard S&amp;P 500 UCITS</v>
      </c>
      <c r="L482" s="143">
        <f t="shared" si="4"/>
        <v>3715</v>
      </c>
      <c r="M482" s="143">
        <f t="shared" si="5"/>
        <v>-151722.66</v>
      </c>
      <c r="N482" s="176" t="str">
        <f>IF($P482&lt;&gt;"",IF(MAXIFS(Investment!$M:$M,Investment!$H:$H,LEFT($P482,30)&amp;"*"),MAXIFS(Investment!$M:$M,Investment!$H:$H,LEFT($P482,30)&amp;"*"),),)</f>
        <v/>
      </c>
      <c r="O482" s="177" t="str">
        <f>IF($P482&lt;&gt;"",IF(MAXIFS(Investment!$AI:$AI,Investment!$H:$H,LEFT($P482,30)&amp;"*"),MAXIFS(Investment!$AI:$AI,Investment!$H:$H,LEFT($P482,30)&amp;"*"),),)</f>
        <v/>
      </c>
      <c r="P482" s="172"/>
      <c r="Q482" s="173"/>
      <c r="R482" s="171"/>
    </row>
    <row r="483">
      <c r="A483" s="165">
        <v>43224.0</v>
      </c>
      <c r="B483" s="166" t="s">
        <v>127</v>
      </c>
      <c r="C483" s="55" t="s">
        <v>128</v>
      </c>
      <c r="D483" s="168" t="s">
        <v>332</v>
      </c>
      <c r="E483" s="168">
        <v>16.0</v>
      </c>
      <c r="F483" s="169">
        <v>158.17</v>
      </c>
      <c r="G483" s="170">
        <v>-2530.72</v>
      </c>
      <c r="H483" s="167" t="s">
        <v>925</v>
      </c>
      <c r="I483" s="171">
        <f t="shared" ref="I483:J483" si="488">IFS(AND($B483&lt;&gt;"",$E483&lt;&gt;""),IF(INDEX(N:N,MATCH($C483,$P:$P,0),1)&lt;&gt;"",$E483*INDEX(N:N,MATCH($C483,$P:$P,0),1)+$G483,""),AND($B483&lt;&gt;"",$D483="COST",$G483&lt;0),$G483,TRUE,)</f>
        <v>433.6</v>
      </c>
      <c r="J483" s="171">
        <f t="shared" si="488"/>
        <v>297.9538824</v>
      </c>
      <c r="K483" s="309" t="str">
        <f t="shared" si="3"/>
        <v>iShares Treasury Bond 7-10 UCITS</v>
      </c>
      <c r="L483" s="143">
        <f t="shared" si="4"/>
        <v>547</v>
      </c>
      <c r="M483" s="143">
        <f t="shared" si="5"/>
        <v>-81771.76</v>
      </c>
      <c r="N483" s="176" t="str">
        <f>IF($P483&lt;&gt;"",IF(MAXIFS(Investment!$M:$M,Investment!$H:$H,LEFT($P483,30)&amp;"*"),MAXIFS(Investment!$M:$M,Investment!$H:$H,LEFT($P483,30)&amp;"*"),),)</f>
        <v/>
      </c>
      <c r="O483" s="177" t="str">
        <f>IF($P483&lt;&gt;"",IF(MAXIFS(Investment!$AI:$AI,Investment!$H:$H,LEFT($P483,30)&amp;"*"),MAXIFS(Investment!$AI:$AI,Investment!$H:$H,LEFT($P483,30)&amp;"*"),),)</f>
        <v/>
      </c>
      <c r="P483" s="172"/>
      <c r="Q483" s="173"/>
      <c r="R483" s="171"/>
    </row>
    <row r="484">
      <c r="A484" s="165">
        <v>43224.0</v>
      </c>
      <c r="B484" s="166" t="s">
        <v>122</v>
      </c>
      <c r="C484" s="167" t="s">
        <v>123</v>
      </c>
      <c r="D484" s="168" t="s">
        <v>332</v>
      </c>
      <c r="E484" s="168">
        <v>39.0</v>
      </c>
      <c r="F484" s="169">
        <v>105.24</v>
      </c>
      <c r="G484" s="170">
        <v>-4104.36</v>
      </c>
      <c r="H484" s="167" t="s">
        <v>926</v>
      </c>
      <c r="I484" s="171">
        <f t="shared" ref="I484:J484" si="489">IFS(AND($B484&lt;&gt;"",$E484&lt;&gt;""),IF(INDEX(N:N,MATCH($C484,$P:$P,0),1)&lt;&gt;"",$E484*INDEX(N:N,MATCH($C484,$P:$P,0),1)+$G484,""),AND($B484&lt;&gt;"",$D484="COST",$G484&lt;0),$G484,TRUE,)</f>
        <v>794.82</v>
      </c>
      <c r="J484" s="171">
        <f t="shared" si="489"/>
        <v>415.9816471</v>
      </c>
      <c r="K484" s="309" t="str">
        <f t="shared" si="3"/>
        <v>ETFS Physical Gold</v>
      </c>
      <c r="L484" s="143">
        <f t="shared" si="4"/>
        <v>353</v>
      </c>
      <c r="M484" s="143">
        <f t="shared" si="5"/>
        <v>-33586.49</v>
      </c>
      <c r="N484" s="176" t="str">
        <f>IF($P484&lt;&gt;"",IF(MAXIFS(Investment!$M:$M,Investment!$H:$H,LEFT($P484,30)&amp;"*"),MAXIFS(Investment!$M:$M,Investment!$H:$H,LEFT($P484,30)&amp;"*"),),)</f>
        <v/>
      </c>
      <c r="O484" s="177" t="str">
        <f>IF($P484&lt;&gt;"",IF(MAXIFS(Investment!$AI:$AI,Investment!$H:$H,LEFT($P484,30)&amp;"*"),MAXIFS(Investment!$AI:$AI,Investment!$H:$H,LEFT($P484,30)&amp;"*"),),)</f>
        <v/>
      </c>
      <c r="P484" s="172"/>
      <c r="Q484" s="173"/>
      <c r="R484" s="171"/>
    </row>
    <row r="485">
      <c r="A485" s="165">
        <v>43223.0</v>
      </c>
      <c r="B485" s="166" t="s">
        <v>122</v>
      </c>
      <c r="C485" s="167" t="s">
        <v>125</v>
      </c>
      <c r="D485" s="168" t="s">
        <v>280</v>
      </c>
      <c r="E485" s="168">
        <v>-1319.0</v>
      </c>
      <c r="F485" s="169">
        <v>10.527</v>
      </c>
      <c r="G485" s="170">
        <v>13885.34</v>
      </c>
      <c r="H485" s="167" t="s">
        <v>927</v>
      </c>
      <c r="I485" s="171" t="str">
        <f t="shared" ref="I485:J485" si="490">IFS(AND($B485&lt;&gt;"",$E485&lt;&gt;""),IF(INDEX(N:N,MATCH($C485,$P:$P,0),1)&lt;&gt;"",$E485*INDEX(N:N,MATCH($C485,$P:$P,0),1)+$G485,""),AND($B485&lt;&gt;"",$D485="COST",$G485&lt;0),$G485,TRUE,)</f>
        <v/>
      </c>
      <c r="J485" s="171" t="str">
        <f t="shared" si="490"/>
        <v/>
      </c>
      <c r="K485" s="309" t="str">
        <f t="shared" si="3"/>
        <v>iShares Gold Trust</v>
      </c>
      <c r="L485" s="143">
        <f t="shared" si="4"/>
        <v>0</v>
      </c>
      <c r="M485" s="143">
        <f t="shared" si="5"/>
        <v>140.23</v>
      </c>
      <c r="N485" s="176" t="str">
        <f>IF($P485&lt;&gt;"",IF(MAXIFS(Investment!$M:$M,Investment!$H:$H,LEFT($P485,30)&amp;"*"),MAXIFS(Investment!$M:$M,Investment!$H:$H,LEFT($P485,30)&amp;"*"),),)</f>
        <v/>
      </c>
      <c r="O485" s="177" t="str">
        <f>IF($P485&lt;&gt;"",IF(MAXIFS(Investment!$AI:$AI,Investment!$H:$H,LEFT($P485,30)&amp;"*"),MAXIFS(Investment!$AI:$AI,Investment!$H:$H,LEFT($P485,30)&amp;"*"),),)</f>
        <v/>
      </c>
      <c r="P485" s="172"/>
      <c r="Q485" s="173"/>
      <c r="R485" s="171"/>
    </row>
    <row r="486">
      <c r="A486" s="165">
        <v>43223.0</v>
      </c>
      <c r="B486" s="166" t="s">
        <v>122</v>
      </c>
      <c r="C486" s="167" t="s">
        <v>123</v>
      </c>
      <c r="D486" s="168" t="s">
        <v>332</v>
      </c>
      <c r="E486" s="168">
        <v>144.0</v>
      </c>
      <c r="F486" s="169">
        <v>105.161</v>
      </c>
      <c r="G486" s="170">
        <v>-15143.25</v>
      </c>
      <c r="H486" s="167" t="s">
        <v>928</v>
      </c>
      <c r="I486" s="171">
        <f t="shared" ref="I486:J486" si="491">IFS(AND($B486&lt;&gt;"",$E486&lt;&gt;""),IF(INDEX(N:N,MATCH($C486,$P:$P,0),1)&lt;&gt;"",$E486*INDEX(N:N,MATCH($C486,$P:$P,0),1)+$G486,""),AND($B486&lt;&gt;"",$D486="COST",$G486&lt;0),$G486,TRUE,)</f>
        <v>2946.03</v>
      </c>
      <c r="J486" s="171">
        <f t="shared" si="491"/>
        <v>1547.242235</v>
      </c>
      <c r="K486" s="309" t="str">
        <f t="shared" si="3"/>
        <v>ETFS Physical Gold</v>
      </c>
      <c r="L486" s="143">
        <f t="shared" si="4"/>
        <v>353</v>
      </c>
      <c r="M486" s="143">
        <f t="shared" si="5"/>
        <v>-33586.49</v>
      </c>
      <c r="N486" s="176" t="str">
        <f>IF($P486&lt;&gt;"",IF(MAXIFS(Investment!$M:$M,Investment!$H:$H,LEFT($P486,30)&amp;"*"),MAXIFS(Investment!$M:$M,Investment!$H:$H,LEFT($P486,30)&amp;"*"),),)</f>
        <v/>
      </c>
      <c r="O486" s="177" t="str">
        <f>IF($P486&lt;&gt;"",IF(MAXIFS(Investment!$AI:$AI,Investment!$H:$H,LEFT($P486,30)&amp;"*"),MAXIFS(Investment!$AI:$AI,Investment!$H:$H,LEFT($P486,30)&amp;"*"),),)</f>
        <v/>
      </c>
      <c r="P486" s="172"/>
      <c r="Q486" s="173"/>
      <c r="R486" s="171"/>
    </row>
    <row r="487">
      <c r="A487" s="165">
        <v>43223.0</v>
      </c>
      <c r="B487" s="166" t="s">
        <v>118</v>
      </c>
      <c r="C487" s="167" t="s">
        <v>120</v>
      </c>
      <c r="D487" s="168" t="s">
        <v>280</v>
      </c>
      <c r="E487" s="168">
        <v>-180.0</v>
      </c>
      <c r="F487" s="169">
        <v>7.566</v>
      </c>
      <c r="G487" s="170">
        <v>1361.88</v>
      </c>
      <c r="H487" s="167" t="s">
        <v>929</v>
      </c>
      <c r="I487" s="171">
        <f t="shared" ref="I487:J487" si="492">IFS(AND($B487&lt;&gt;"",$E487&lt;&gt;""),IF(INDEX(N:N,MATCH($C487,$P:$P,0),1)&lt;&gt;"",$E487*INDEX(N:N,MATCH($C487,$P:$P,0),1)+$G487,""),AND($B487&lt;&gt;"",$D487="COST",$G487&lt;0),$G487,TRUE,)</f>
        <v>33.48</v>
      </c>
      <c r="J487" s="171">
        <f t="shared" si="492"/>
        <v>57.41929412</v>
      </c>
      <c r="K487" s="309" t="str">
        <f t="shared" si="3"/>
        <v>ETFS All Commodities ETC</v>
      </c>
      <c r="L487" s="143">
        <f t="shared" si="4"/>
        <v>11745</v>
      </c>
      <c r="M487" s="143">
        <f t="shared" si="5"/>
        <v>-84366.02</v>
      </c>
      <c r="N487" s="176" t="str">
        <f>IF($P487&lt;&gt;"",IF(MAXIFS(Investment!$M:$M,Investment!$H:$H,LEFT($P487,30)&amp;"*"),MAXIFS(Investment!$M:$M,Investment!$H:$H,LEFT($P487,30)&amp;"*"),),)</f>
        <v/>
      </c>
      <c r="O487" s="177" t="str">
        <f>IF($P487&lt;&gt;"",IF(MAXIFS(Investment!$AI:$AI,Investment!$H:$H,LEFT($P487,30)&amp;"*"),MAXIFS(Investment!$AI:$AI,Investment!$H:$H,LEFT($P487,30)&amp;"*"),),)</f>
        <v/>
      </c>
      <c r="P487" s="172"/>
      <c r="Q487" s="173"/>
      <c r="R487" s="171"/>
    </row>
    <row r="488">
      <c r="A488" s="165">
        <v>43223.0</v>
      </c>
      <c r="B488" s="166" t="s">
        <v>127</v>
      </c>
      <c r="C488" s="167" t="s">
        <v>132</v>
      </c>
      <c r="D488" s="168" t="s">
        <v>301</v>
      </c>
      <c r="E488" s="168"/>
      <c r="F488" s="169"/>
      <c r="G488" s="170">
        <v>-7.14</v>
      </c>
      <c r="H488" s="167" t="s">
        <v>930</v>
      </c>
      <c r="I488" s="171">
        <f t="shared" ref="I488:J488" si="493">IFS(AND($B488&lt;&gt;"",$E488&lt;&gt;""),IF(INDEX(N:N,MATCH($C488,$P:$P,0),1)&lt;&gt;"",$E488*INDEX(N:N,MATCH($C488,$P:$P,0),1)+$G488,""),AND($B488&lt;&gt;"",$D488="COST",$G488&lt;0),$G488,TRUE,)</f>
        <v>-7.14</v>
      </c>
      <c r="J488" s="171">
        <f t="shared" si="493"/>
        <v>-7.14</v>
      </c>
      <c r="K488" s="309" t="str">
        <f t="shared" si="3"/>
        <v>Vanguard Intermediate-Term Treasury ETF</v>
      </c>
      <c r="L488" s="143">
        <f t="shared" si="4"/>
        <v>0</v>
      </c>
      <c r="M488" s="143">
        <f t="shared" si="5"/>
        <v>-1799.24</v>
      </c>
      <c r="N488" s="176" t="str">
        <f>IF($P488&lt;&gt;"",IF(MAXIFS(Investment!$M:$M,Investment!$H:$H,LEFT($P488,30)&amp;"*"),MAXIFS(Investment!$M:$M,Investment!$H:$H,LEFT($P488,30)&amp;"*"),),)</f>
        <v/>
      </c>
      <c r="O488" s="177" t="str">
        <f>IF($P488&lt;&gt;"",IF(MAXIFS(Investment!$AI:$AI,Investment!$H:$H,LEFT($P488,30)&amp;"*"),MAXIFS(Investment!$AI:$AI,Investment!$H:$H,LEFT($P488,30)&amp;"*"),),)</f>
        <v/>
      </c>
      <c r="P488" s="172"/>
      <c r="Q488" s="173"/>
      <c r="R488" s="171"/>
    </row>
    <row r="489">
      <c r="A489" s="165">
        <v>43223.0</v>
      </c>
      <c r="B489" s="166" t="s">
        <v>127</v>
      </c>
      <c r="C489" s="167" t="s">
        <v>132</v>
      </c>
      <c r="D489" s="168" t="s">
        <v>280</v>
      </c>
      <c r="E489" s="168">
        <v>-493.0</v>
      </c>
      <c r="F489" s="169">
        <v>52.066</v>
      </c>
      <c r="G489" s="170">
        <v>25668.61</v>
      </c>
      <c r="H489" s="167" t="s">
        <v>931</v>
      </c>
      <c r="I489" s="171" t="str">
        <f t="shared" ref="I489:J489" si="494">IFS(AND($B489&lt;&gt;"",$E489&lt;&gt;""),IF(INDEX(N:N,MATCH($C489,$P:$P,0),1)&lt;&gt;"",$E489*INDEX(N:N,MATCH($C489,$P:$P,0),1)+$G489,""),AND($B489&lt;&gt;"",$D489="COST",$G489&lt;0),$G489,TRUE,)</f>
        <v/>
      </c>
      <c r="J489" s="171" t="str">
        <f t="shared" si="494"/>
        <v/>
      </c>
      <c r="K489" s="309" t="str">
        <f t="shared" si="3"/>
        <v>Vanguard Intermediate-Term Treasury ETF</v>
      </c>
      <c r="L489" s="143">
        <f t="shared" si="4"/>
        <v>0</v>
      </c>
      <c r="M489" s="143">
        <f t="shared" si="5"/>
        <v>-1799.24</v>
      </c>
      <c r="N489" s="176" t="str">
        <f>IF($P489&lt;&gt;"",IF(MAXIFS(Investment!$M:$M,Investment!$H:$H,LEFT($P489,30)&amp;"*"),MAXIFS(Investment!$M:$M,Investment!$H:$H,LEFT($P489,30)&amp;"*"),),)</f>
        <v/>
      </c>
      <c r="O489" s="177" t="str">
        <f>IF($P489&lt;&gt;"",IF(MAXIFS(Investment!$AI:$AI,Investment!$H:$H,LEFT($P489,30)&amp;"*"),MAXIFS(Investment!$AI:$AI,Investment!$H:$H,LEFT($P489,30)&amp;"*"),),)</f>
        <v/>
      </c>
      <c r="P489" s="172"/>
      <c r="Q489" s="173"/>
      <c r="R489" s="171"/>
    </row>
    <row r="490">
      <c r="A490" s="165">
        <v>43223.0</v>
      </c>
      <c r="B490" s="166" t="s">
        <v>127</v>
      </c>
      <c r="C490" s="55" t="s">
        <v>128</v>
      </c>
      <c r="D490" s="168" t="s">
        <v>332</v>
      </c>
      <c r="E490" s="168">
        <v>185.0</v>
      </c>
      <c r="F490" s="169">
        <v>158.21</v>
      </c>
      <c r="G490" s="170">
        <v>-29268.85</v>
      </c>
      <c r="H490" s="167" t="s">
        <v>932</v>
      </c>
      <c r="I490" s="171">
        <f t="shared" ref="I490:J490" si="495">IFS(AND($B490&lt;&gt;"",$E490&lt;&gt;""),IF(INDEX(N:N,MATCH($C490,$P:$P,0),1)&lt;&gt;"",$E490*INDEX(N:N,MATCH($C490,$P:$P,0),1)+$G490,""),AND($B490&lt;&gt;"",$D490="COST",$G490&lt;0),$G490,TRUE,)</f>
        <v>5006.1</v>
      </c>
      <c r="J490" s="171">
        <f t="shared" si="495"/>
        <v>3437.691765</v>
      </c>
      <c r="K490" s="309" t="str">
        <f t="shared" si="3"/>
        <v>iShares Treasury Bond 7-10 UCITS</v>
      </c>
      <c r="L490" s="143">
        <f t="shared" si="4"/>
        <v>547</v>
      </c>
      <c r="M490" s="143">
        <f t="shared" si="5"/>
        <v>-81771.76</v>
      </c>
      <c r="N490" s="176" t="str">
        <f>IF($P490&lt;&gt;"",IF(MAXIFS(Investment!$M:$M,Investment!$H:$H,LEFT($P490,30)&amp;"*"),MAXIFS(Investment!$M:$M,Investment!$H:$H,LEFT($P490,30)&amp;"*"),),)</f>
        <v/>
      </c>
      <c r="O490" s="177" t="str">
        <f>IF($P490&lt;&gt;"",IF(MAXIFS(Investment!$AI:$AI,Investment!$H:$H,LEFT($P490,30)&amp;"*"),MAXIFS(Investment!$AI:$AI,Investment!$H:$H,LEFT($P490,30)&amp;"*"),),)</f>
        <v/>
      </c>
      <c r="P490" s="172"/>
      <c r="Q490" s="173"/>
      <c r="R490" s="171"/>
    </row>
    <row r="491">
      <c r="A491" s="165">
        <v>43220.0</v>
      </c>
      <c r="B491" s="166"/>
      <c r="C491" s="167"/>
      <c r="D491" s="168" t="s">
        <v>301</v>
      </c>
      <c r="E491" s="168"/>
      <c r="F491" s="169"/>
      <c r="G491" s="170">
        <v>-140.97</v>
      </c>
      <c r="H491" s="167" t="s">
        <v>933</v>
      </c>
      <c r="I491" s="171" t="str">
        <f t="shared" ref="I491:J491" si="496">IFS(AND($B491&lt;&gt;"",$E491&lt;&gt;""),IF(INDEX(N:N,MATCH($C491,$P:$P,0),1)&lt;&gt;"",$E491*INDEX(N:N,MATCH($C491,$P:$P,0),1)+$G491,""),AND($B491&lt;&gt;"",$D491="COST",$G491&lt;0),$G491,TRUE,)</f>
        <v/>
      </c>
      <c r="J491" s="171" t="str">
        <f t="shared" si="496"/>
        <v/>
      </c>
      <c r="K491" s="309" t="str">
        <f t="shared" si="3"/>
        <v/>
      </c>
      <c r="L491" s="143" t="str">
        <f t="shared" si="4"/>
        <v/>
      </c>
      <c r="M491" s="143" t="str">
        <f t="shared" si="5"/>
        <v/>
      </c>
      <c r="N491" s="176" t="str">
        <f>IF($P491&lt;&gt;"",IF(MAXIFS(Investment!$M:$M,Investment!$H:$H,LEFT($P491,30)&amp;"*"),MAXIFS(Investment!$M:$M,Investment!$H:$H,LEFT($P491,30)&amp;"*"),),)</f>
        <v/>
      </c>
      <c r="O491" s="177" t="str">
        <f>IF($P491&lt;&gt;"",IF(MAXIFS(Investment!$AI:$AI,Investment!$H:$H,LEFT($P491,30)&amp;"*"),MAXIFS(Investment!$AI:$AI,Investment!$H:$H,LEFT($P491,30)&amp;"*"),),)</f>
        <v/>
      </c>
      <c r="P491" s="172"/>
      <c r="Q491" s="173"/>
      <c r="R491" s="171"/>
    </row>
    <row r="492">
      <c r="A492" s="165">
        <v>43220.0</v>
      </c>
      <c r="B492" s="166" t="s">
        <v>118</v>
      </c>
      <c r="C492" s="167" t="s">
        <v>120</v>
      </c>
      <c r="D492" s="168" t="s">
        <v>280</v>
      </c>
      <c r="E492" s="168">
        <v>-1893.0</v>
      </c>
      <c r="F492" s="169">
        <v>7.451</v>
      </c>
      <c r="G492" s="170">
        <v>14104.74</v>
      </c>
      <c r="H492" s="167" t="s">
        <v>934</v>
      </c>
      <c r="I492" s="171">
        <f t="shared" ref="I492:J492" si="497">IFS(AND($B492&lt;&gt;"",$E492&lt;&gt;""),IF(INDEX(N:N,MATCH($C492,$P:$P,0),1)&lt;&gt;"",$E492*INDEX(N:N,MATCH($C492,$P:$P,0),1)+$G492,""),AND($B492&lt;&gt;"",$D492="COST",$G492&lt;0),$G492,TRUE,)</f>
        <v>134.4</v>
      </c>
      <c r="J492" s="171">
        <f t="shared" si="497"/>
        <v>386.1615765</v>
      </c>
      <c r="K492" s="309" t="str">
        <f t="shared" si="3"/>
        <v>ETFS All Commodities ETC</v>
      </c>
      <c r="L492" s="143">
        <f t="shared" si="4"/>
        <v>11745</v>
      </c>
      <c r="M492" s="143">
        <f t="shared" si="5"/>
        <v>-84366.02</v>
      </c>
      <c r="N492" s="176" t="str">
        <f>IF($P492&lt;&gt;"",IF(MAXIFS(Investment!$M:$M,Investment!$H:$H,LEFT($P492,30)&amp;"*"),MAXIFS(Investment!$M:$M,Investment!$H:$H,LEFT($P492,30)&amp;"*"),),)</f>
        <v/>
      </c>
      <c r="O492" s="177" t="str">
        <f>IF($P492&lt;&gt;"",IF(MAXIFS(Investment!$AI:$AI,Investment!$H:$H,LEFT($P492,30)&amp;"*"),MAXIFS(Investment!$AI:$AI,Investment!$H:$H,LEFT($P492,30)&amp;"*"),),)</f>
        <v/>
      </c>
      <c r="P492" s="172"/>
      <c r="Q492" s="173"/>
      <c r="R492" s="171"/>
    </row>
    <row r="493">
      <c r="A493" s="165">
        <v>43220.0</v>
      </c>
      <c r="B493" s="166" t="s">
        <v>138</v>
      </c>
      <c r="C493" s="167" t="s">
        <v>139</v>
      </c>
      <c r="D493" s="168" t="s">
        <v>280</v>
      </c>
      <c r="E493" s="168">
        <v>-449.0</v>
      </c>
      <c r="F493" s="169">
        <v>41.972</v>
      </c>
      <c r="G493" s="170">
        <v>18845.44</v>
      </c>
      <c r="H493" s="167" t="s">
        <v>935</v>
      </c>
      <c r="I493" s="171">
        <f t="shared" ref="I493:J493" si="498">IFS(AND($B493&lt;&gt;"",$E493&lt;&gt;""),IF(INDEX(N:N,MATCH($C493,$P:$P,0),1)&lt;&gt;"",$E493*INDEX(N:N,MATCH($C493,$P:$P,0),1)+$G493,""),AND($B493&lt;&gt;"",$D493="COST",$G493&lt;0),$G493,TRUE,)</f>
        <v>-5079.525</v>
      </c>
      <c r="J493" s="171">
        <f t="shared" si="498"/>
        <v>-2768.425157</v>
      </c>
      <c r="K493" s="309" t="str">
        <f t="shared" si="3"/>
        <v>Vanguard S&amp;P 500 UCITS</v>
      </c>
      <c r="L493" s="143">
        <f t="shared" si="4"/>
        <v>3715</v>
      </c>
      <c r="M493" s="143">
        <f t="shared" si="5"/>
        <v>-151722.66</v>
      </c>
      <c r="N493" s="176" t="str">
        <f>IF($P493&lt;&gt;"",IF(MAXIFS(Investment!$M:$M,Investment!$H:$H,LEFT($P493,30)&amp;"*"),MAXIFS(Investment!$M:$M,Investment!$H:$H,LEFT($P493,30)&amp;"*"),),)</f>
        <v/>
      </c>
      <c r="O493" s="177" t="str">
        <f>IF($P493&lt;&gt;"",IF(MAXIFS(Investment!$AI:$AI,Investment!$H:$H,LEFT($P493,30)&amp;"*"),MAXIFS(Investment!$AI:$AI,Investment!$H:$H,LEFT($P493,30)&amp;"*"),),)</f>
        <v/>
      </c>
      <c r="P493" s="172"/>
      <c r="Q493" s="173"/>
      <c r="R493" s="171"/>
    </row>
    <row r="494">
      <c r="A494" s="165">
        <v>43197.0</v>
      </c>
      <c r="B494" s="143" t="s">
        <v>138</v>
      </c>
      <c r="C494" s="167" t="s">
        <v>139</v>
      </c>
      <c r="D494" s="307" t="s">
        <v>307</v>
      </c>
      <c r="E494" s="307"/>
      <c r="F494" s="169"/>
      <c r="G494" s="170">
        <v>7.05</v>
      </c>
      <c r="H494" s="167" t="s">
        <v>936</v>
      </c>
      <c r="I494" s="171" t="str">
        <f t="shared" ref="I494:J494" si="499">IFS(AND($B494&lt;&gt;"",$E494&lt;&gt;""),IF(INDEX(N:N,MATCH($C494,$P:$P,0),1)&lt;&gt;"",$E494*INDEX(N:N,MATCH($C494,$P:$P,0),1)+$G494,""),AND($B494&lt;&gt;"",$D494="COST",$G494&lt;0),$G494,TRUE,)</f>
        <v/>
      </c>
      <c r="J494" s="171" t="str">
        <f t="shared" si="499"/>
        <v/>
      </c>
      <c r="K494" s="309" t="str">
        <f t="shared" si="3"/>
        <v>Vanguard S&amp;P 500 UCITS</v>
      </c>
      <c r="L494" s="143">
        <f t="shared" si="4"/>
        <v>3715</v>
      </c>
      <c r="M494" s="143">
        <f t="shared" si="5"/>
        <v>-151722.66</v>
      </c>
      <c r="N494" s="176" t="str">
        <f>IF($P494&lt;&gt;"",IF(MAXIFS(Investment!$M:$M,Investment!$H:$H,LEFT($P494,30)&amp;"*"),MAXIFS(Investment!$M:$M,Investment!$H:$H,LEFT($P494,30)&amp;"*"),),)</f>
        <v/>
      </c>
      <c r="O494" s="177" t="str">
        <f>IF($P494&lt;&gt;"",IF(MAXIFS(Investment!$AI:$AI,Investment!$H:$H,LEFT($P494,30)&amp;"*"),MAXIFS(Investment!$AI:$AI,Investment!$H:$H,LEFT($P494,30)&amp;"*"),),)</f>
        <v/>
      </c>
      <c r="P494" s="172"/>
      <c r="Q494" s="173"/>
      <c r="R494" s="171"/>
    </row>
    <row r="495">
      <c r="A495" s="165">
        <v>43197.0</v>
      </c>
      <c r="B495" s="143" t="s">
        <v>127</v>
      </c>
      <c r="C495" s="167" t="s">
        <v>132</v>
      </c>
      <c r="D495" s="307" t="s">
        <v>307</v>
      </c>
      <c r="E495" s="307"/>
      <c r="F495" s="169"/>
      <c r="G495" s="170">
        <v>-7.05</v>
      </c>
      <c r="H495" s="167" t="s">
        <v>937</v>
      </c>
      <c r="I495" s="171" t="str">
        <f t="shared" ref="I495:J495" si="500">IFS(AND($B495&lt;&gt;"",$E495&lt;&gt;""),IF(INDEX(N:N,MATCH($C495,$P:$P,0),1)&lt;&gt;"",$E495*INDEX(N:N,MATCH($C495,$P:$P,0),1)+$G495,""),AND($B495&lt;&gt;"",$D495="COST",$G495&lt;0),$G495,TRUE,)</f>
        <v/>
      </c>
      <c r="J495" s="171" t="str">
        <f t="shared" si="500"/>
        <v/>
      </c>
      <c r="K495" s="309" t="str">
        <f t="shared" si="3"/>
        <v>Vanguard Intermediate-Term Treasury ETF</v>
      </c>
      <c r="L495" s="143">
        <f t="shared" si="4"/>
        <v>0</v>
      </c>
      <c r="M495" s="143">
        <f t="shared" si="5"/>
        <v>-1799.24</v>
      </c>
      <c r="N495" s="176" t="str">
        <f>IF($P495&lt;&gt;"",IF(MAXIFS(Investment!$M:$M,Investment!$H:$H,LEFT($P495,30)&amp;"*"),MAXIFS(Investment!$M:$M,Investment!$H:$H,LEFT($P495,30)&amp;"*"),),)</f>
        <v/>
      </c>
      <c r="O495" s="177" t="str">
        <f>IF($P495&lt;&gt;"",IF(MAXIFS(Investment!$AI:$AI,Investment!$H:$H,LEFT($P495,30)&amp;"*"),MAXIFS(Investment!$AI:$AI,Investment!$H:$H,LEFT($P495,30)&amp;"*"),),)</f>
        <v/>
      </c>
      <c r="P495" s="172"/>
      <c r="Q495" s="173"/>
      <c r="R495" s="171"/>
    </row>
    <row r="496">
      <c r="A496" s="165">
        <v>43196.0</v>
      </c>
      <c r="B496" s="166" t="s">
        <v>138</v>
      </c>
      <c r="C496" s="167" t="s">
        <v>139</v>
      </c>
      <c r="D496" s="168" t="s">
        <v>307</v>
      </c>
      <c r="E496" s="168"/>
      <c r="F496" s="169"/>
      <c r="G496" s="170">
        <v>-86.57</v>
      </c>
      <c r="H496" s="167" t="s">
        <v>938</v>
      </c>
      <c r="I496" s="171" t="str">
        <f t="shared" ref="I496:J496" si="501">IFS(AND($B496&lt;&gt;"",$E496&lt;&gt;""),IF(INDEX(N:N,MATCH($C496,$P:$P,0),1)&lt;&gt;"",$E496*INDEX(N:N,MATCH($C496,$P:$P,0),1)+$G496,""),AND($B496&lt;&gt;"",$D496="COST",$G496&lt;0),$G496,TRUE,)</f>
        <v/>
      </c>
      <c r="J496" s="171" t="str">
        <f t="shared" si="501"/>
        <v/>
      </c>
      <c r="K496" s="309" t="str">
        <f t="shared" si="3"/>
        <v>Vanguard S&amp;P 500 UCITS</v>
      </c>
      <c r="L496" s="143">
        <f t="shared" si="4"/>
        <v>3715</v>
      </c>
      <c r="M496" s="143">
        <f t="shared" si="5"/>
        <v>-151722.66</v>
      </c>
      <c r="N496" s="176" t="str">
        <f>IF($P496&lt;&gt;"",IF(MAXIFS(Investment!$M:$M,Investment!$H:$H,LEFT($P496,30)&amp;"*"),MAXIFS(Investment!$M:$M,Investment!$H:$H,LEFT($P496,30)&amp;"*"),),)</f>
        <v/>
      </c>
      <c r="O496" s="177" t="str">
        <f>IF($P496&lt;&gt;"",IF(MAXIFS(Investment!$AI:$AI,Investment!$H:$H,LEFT($P496,30)&amp;"*"),MAXIFS(Investment!$AI:$AI,Investment!$H:$H,LEFT($P496,30)&amp;"*"),),)</f>
        <v/>
      </c>
      <c r="P496" s="172"/>
      <c r="Q496" s="173"/>
      <c r="R496" s="171"/>
    </row>
    <row r="497">
      <c r="A497" s="165">
        <v>43195.0</v>
      </c>
      <c r="B497" s="166" t="s">
        <v>127</v>
      </c>
      <c r="C497" s="167" t="s">
        <v>132</v>
      </c>
      <c r="D497" s="168" t="s">
        <v>307</v>
      </c>
      <c r="E497" s="168"/>
      <c r="F497" s="169"/>
      <c r="G497" s="170">
        <v>7.7</v>
      </c>
      <c r="H497" s="167" t="s">
        <v>939</v>
      </c>
      <c r="I497" s="171" t="str">
        <f t="shared" ref="I497:J497" si="502">IFS(AND($B497&lt;&gt;"",$E497&lt;&gt;""),IF(INDEX(N:N,MATCH($C497,$P:$P,0),1)&lt;&gt;"",$E497*INDEX(N:N,MATCH($C497,$P:$P,0),1)+$G497,""),AND($B497&lt;&gt;"",$D497="COST",$G497&lt;0),$G497,TRUE,)</f>
        <v/>
      </c>
      <c r="J497" s="171" t="str">
        <f t="shared" si="502"/>
        <v/>
      </c>
      <c r="K497" s="309" t="str">
        <f t="shared" si="3"/>
        <v>Vanguard Intermediate-Term Treasury ETF</v>
      </c>
      <c r="L497" s="143">
        <f t="shared" si="4"/>
        <v>0</v>
      </c>
      <c r="M497" s="143">
        <f t="shared" si="5"/>
        <v>-1799.24</v>
      </c>
      <c r="N497" s="176" t="str">
        <f>IF($P497&lt;&gt;"",IF(MAXIFS(Investment!$M:$M,Investment!$H:$H,LEFT($P497,30)&amp;"*"),MAXIFS(Investment!$M:$M,Investment!$H:$H,LEFT($P497,30)&amp;"*"),),)</f>
        <v/>
      </c>
      <c r="O497" s="177" t="str">
        <f>IF($P497&lt;&gt;"",IF(MAXIFS(Investment!$AI:$AI,Investment!$H:$H,LEFT($P497,30)&amp;"*"),MAXIFS(Investment!$AI:$AI,Investment!$H:$H,LEFT($P497,30)&amp;"*"),),)</f>
        <v/>
      </c>
      <c r="P497" s="172"/>
      <c r="Q497" s="173"/>
      <c r="R497" s="171"/>
    </row>
    <row r="498">
      <c r="A498" s="165">
        <v>43195.0</v>
      </c>
      <c r="B498" s="166" t="s">
        <v>127</v>
      </c>
      <c r="C498" s="167" t="s">
        <v>132</v>
      </c>
      <c r="D498" s="168" t="s">
        <v>307</v>
      </c>
      <c r="E498" s="168"/>
      <c r="F498" s="169"/>
      <c r="G498" s="170">
        <v>43.62</v>
      </c>
      <c r="H498" s="167" t="s">
        <v>940</v>
      </c>
      <c r="I498" s="171" t="str">
        <f t="shared" ref="I498:J498" si="503">IFS(AND($B498&lt;&gt;"",$E498&lt;&gt;""),IF(INDEX(N:N,MATCH($C498,$P:$P,0),1)&lt;&gt;"",$E498*INDEX(N:N,MATCH($C498,$P:$P,0),1)+$G498,""),AND($B498&lt;&gt;"",$D498="COST",$G498&lt;0),$G498,TRUE,)</f>
        <v/>
      </c>
      <c r="J498" s="171" t="str">
        <f t="shared" si="503"/>
        <v/>
      </c>
      <c r="K498" s="309" t="str">
        <f t="shared" si="3"/>
        <v>Vanguard Intermediate-Term Treasury ETF</v>
      </c>
      <c r="L498" s="143">
        <f t="shared" si="4"/>
        <v>0</v>
      </c>
      <c r="M498" s="143">
        <f t="shared" si="5"/>
        <v>-1799.24</v>
      </c>
      <c r="N498" s="176" t="str">
        <f>IF($P498&lt;&gt;"",IF(MAXIFS(Investment!$M:$M,Investment!$H:$H,LEFT($P498,30)&amp;"*"),MAXIFS(Investment!$M:$M,Investment!$H:$H,LEFT($P498,30)&amp;"*"),),)</f>
        <v/>
      </c>
      <c r="O498" s="177" t="str">
        <f>IF($P498&lt;&gt;"",IF(MAXIFS(Investment!$AI:$AI,Investment!$H:$H,LEFT($P498,30)&amp;"*"),MAXIFS(Investment!$AI:$AI,Investment!$H:$H,LEFT($P498,30)&amp;"*"),),)</f>
        <v/>
      </c>
      <c r="P498" s="172"/>
      <c r="Q498" s="173"/>
      <c r="R498" s="171"/>
    </row>
    <row r="499">
      <c r="A499" s="165">
        <v>43194.0</v>
      </c>
      <c r="B499" s="166" t="s">
        <v>138</v>
      </c>
      <c r="C499" s="167" t="s">
        <v>139</v>
      </c>
      <c r="D499" s="168" t="s">
        <v>307</v>
      </c>
      <c r="E499" s="168"/>
      <c r="F499" s="169"/>
      <c r="G499" s="170">
        <v>420.27</v>
      </c>
      <c r="H499" s="167" t="s">
        <v>941</v>
      </c>
      <c r="I499" s="171" t="str">
        <f t="shared" ref="I499:J499" si="504">IFS(AND($B499&lt;&gt;"",$E499&lt;&gt;""),IF(INDEX(N:N,MATCH($C499,$P:$P,0),1)&lt;&gt;"",$E499*INDEX(N:N,MATCH($C499,$P:$P,0),1)+$G499,""),AND($B499&lt;&gt;"",$D499="COST",$G499&lt;0),$G499,TRUE,)</f>
        <v/>
      </c>
      <c r="J499" s="171" t="str">
        <f t="shared" si="504"/>
        <v/>
      </c>
      <c r="K499" s="309" t="str">
        <f t="shared" si="3"/>
        <v>Vanguard S&amp;P 500 UCITS</v>
      </c>
      <c r="L499" s="143">
        <f t="shared" si="4"/>
        <v>3715</v>
      </c>
      <c r="M499" s="143">
        <f t="shared" si="5"/>
        <v>-151722.66</v>
      </c>
      <c r="N499" s="176" t="str">
        <f>IF($P499&lt;&gt;"",IF(MAXIFS(Investment!$M:$M,Investment!$H:$H,LEFT($P499,30)&amp;"*"),MAXIFS(Investment!$M:$M,Investment!$H:$H,LEFT($P499,30)&amp;"*"),),)</f>
        <v/>
      </c>
      <c r="O499" s="177" t="str">
        <f>IF($P499&lt;&gt;"",IF(MAXIFS(Investment!$AI:$AI,Investment!$H:$H,LEFT($P499,30)&amp;"*"),MAXIFS(Investment!$AI:$AI,Investment!$H:$H,LEFT($P499,30)&amp;"*"),),)</f>
        <v/>
      </c>
      <c r="P499" s="172"/>
      <c r="Q499" s="173"/>
      <c r="R499" s="171"/>
    </row>
    <row r="500">
      <c r="A500" s="165">
        <v>43194.0</v>
      </c>
      <c r="B500" s="166"/>
      <c r="C500" s="167"/>
      <c r="D500" s="168" t="s">
        <v>301</v>
      </c>
      <c r="E500" s="168"/>
      <c r="F500" s="169"/>
      <c r="G500" s="170">
        <v>-0.01</v>
      </c>
      <c r="H500" s="167" t="s">
        <v>942</v>
      </c>
      <c r="I500" s="171" t="str">
        <f t="shared" ref="I500:J500" si="505">IFS(AND($B500&lt;&gt;"",$E500&lt;&gt;""),IF(INDEX(N:N,MATCH($C500,$P:$P,0),1)&lt;&gt;"",$E500*INDEX(N:N,MATCH($C500,$P:$P,0),1)+$G500,""),AND($B500&lt;&gt;"",$D500="COST",$G500&lt;0),$G500,TRUE,)</f>
        <v/>
      </c>
      <c r="J500" s="171" t="str">
        <f t="shared" si="505"/>
        <v/>
      </c>
      <c r="K500" s="309" t="str">
        <f t="shared" si="3"/>
        <v/>
      </c>
      <c r="L500" s="143" t="str">
        <f t="shared" si="4"/>
        <v/>
      </c>
      <c r="M500" s="143" t="str">
        <f t="shared" si="5"/>
        <v/>
      </c>
      <c r="N500" s="176" t="str">
        <f>IF($P500&lt;&gt;"",IF(MAXIFS(Investment!$M:$M,Investment!$H:$H,LEFT($P500,30)&amp;"*"),MAXIFS(Investment!$M:$M,Investment!$H:$H,LEFT($P500,30)&amp;"*"),),)</f>
        <v/>
      </c>
      <c r="O500" s="177" t="str">
        <f>IF($P500&lt;&gt;"",IF(MAXIFS(Investment!$AI:$AI,Investment!$H:$H,LEFT($P500,30)&amp;"*"),MAXIFS(Investment!$AI:$AI,Investment!$H:$H,LEFT($P500,30)&amp;"*"),),)</f>
        <v/>
      </c>
      <c r="P500" s="172"/>
      <c r="Q500" s="173"/>
      <c r="R500" s="171"/>
    </row>
    <row r="501">
      <c r="A501" s="165">
        <v>43190.0</v>
      </c>
      <c r="B501" s="166"/>
      <c r="C501" s="167"/>
      <c r="D501" s="168" t="s">
        <v>301</v>
      </c>
      <c r="E501" s="168"/>
      <c r="F501" s="169"/>
      <c r="G501" s="170">
        <v>-155.56</v>
      </c>
      <c r="H501" s="167" t="s">
        <v>943</v>
      </c>
      <c r="I501" s="171" t="str">
        <f t="shared" ref="I501:J501" si="506">IFS(AND($B501&lt;&gt;"",$E501&lt;&gt;""),IF(INDEX(N:N,MATCH($C501,$P:$P,0),1)&lt;&gt;"",$E501*INDEX(N:N,MATCH($C501,$P:$P,0),1)+$G501,""),AND($B501&lt;&gt;"",$D501="COST",$G501&lt;0),$G501,TRUE,)</f>
        <v/>
      </c>
      <c r="J501" s="171" t="str">
        <f t="shared" si="506"/>
        <v/>
      </c>
      <c r="K501" s="309" t="str">
        <f t="shared" si="3"/>
        <v/>
      </c>
      <c r="L501" s="143" t="str">
        <f t="shared" si="4"/>
        <v/>
      </c>
      <c r="M501" s="143" t="str">
        <f t="shared" si="5"/>
        <v/>
      </c>
      <c r="N501" s="176" t="str">
        <f>IF($P501&lt;&gt;"",IF(MAXIFS(Investment!$M:$M,Investment!$H:$H,LEFT($P501,30)&amp;"*"),MAXIFS(Investment!$M:$M,Investment!$H:$H,LEFT($P501,30)&amp;"*"),),)</f>
        <v/>
      </c>
      <c r="O501" s="177" t="str">
        <f>IF($P501&lt;&gt;"",IF(MAXIFS(Investment!$AI:$AI,Investment!$H:$H,LEFT($P501,30)&amp;"*"),MAXIFS(Investment!$AI:$AI,Investment!$H:$H,LEFT($P501,30)&amp;"*"),),)</f>
        <v/>
      </c>
      <c r="P501" s="172"/>
      <c r="Q501" s="173"/>
      <c r="R501" s="171"/>
    </row>
    <row r="502">
      <c r="A502" s="165">
        <v>43190.0</v>
      </c>
      <c r="B502" s="166"/>
      <c r="C502" s="167"/>
      <c r="D502" s="168" t="s">
        <v>301</v>
      </c>
      <c r="E502" s="168"/>
      <c r="F502" s="169"/>
      <c r="G502" s="170">
        <v>0.03</v>
      </c>
      <c r="H502" s="167" t="s">
        <v>944</v>
      </c>
      <c r="I502" s="171" t="str">
        <f t="shared" ref="I502:J502" si="507">IFS(AND($B502&lt;&gt;"",$E502&lt;&gt;""),IF(INDEX(N:N,MATCH($C502,$P:$P,0),1)&lt;&gt;"",$E502*INDEX(N:N,MATCH($C502,$P:$P,0),1)+$G502,""),AND($B502&lt;&gt;"",$D502="COST",$G502&lt;0),$G502,TRUE,)</f>
        <v/>
      </c>
      <c r="J502" s="171" t="str">
        <f t="shared" si="507"/>
        <v/>
      </c>
      <c r="K502" s="309" t="str">
        <f t="shared" si="3"/>
        <v/>
      </c>
      <c r="L502" s="143" t="str">
        <f t="shared" si="4"/>
        <v/>
      </c>
      <c r="M502" s="143" t="str">
        <f t="shared" si="5"/>
        <v/>
      </c>
      <c r="N502" s="176" t="str">
        <f>IF($P502&lt;&gt;"",IF(MAXIFS(Investment!$M:$M,Investment!$H:$H,LEFT($P502,30)&amp;"*"),MAXIFS(Investment!$M:$M,Investment!$H:$H,LEFT($P502,30)&amp;"*"),),)</f>
        <v/>
      </c>
      <c r="O502" s="177" t="str">
        <f>IF($P502&lt;&gt;"",IF(MAXIFS(Investment!$AI:$AI,Investment!$H:$H,LEFT($P502,30)&amp;"*"),MAXIFS(Investment!$AI:$AI,Investment!$H:$H,LEFT($P502,30)&amp;"*"),),)</f>
        <v/>
      </c>
      <c r="P502" s="172"/>
      <c r="Q502" s="173"/>
      <c r="R502" s="171"/>
    </row>
    <row r="503">
      <c r="A503" s="165">
        <v>43181.0</v>
      </c>
      <c r="B503" s="166" t="s">
        <v>134</v>
      </c>
      <c r="C503" s="167" t="s">
        <v>137</v>
      </c>
      <c r="D503" s="168" t="s">
        <v>307</v>
      </c>
      <c r="E503" s="168"/>
      <c r="F503" s="169"/>
      <c r="G503" s="170">
        <v>-89.96</v>
      </c>
      <c r="H503" s="167" t="s">
        <v>945</v>
      </c>
      <c r="I503" s="171" t="str">
        <f t="shared" ref="I503:J503" si="508">IFS(AND($B503&lt;&gt;"",$E503&lt;&gt;""),IF(INDEX(N:N,MATCH($C503,$P:$P,0),1)&lt;&gt;"",$E503*INDEX(N:N,MATCH($C503,$P:$P,0),1)+$G503,""),AND($B503&lt;&gt;"",$D503="COST",$G503&lt;0),$G503,TRUE,)</f>
        <v/>
      </c>
      <c r="J503" s="171" t="str">
        <f t="shared" si="508"/>
        <v/>
      </c>
      <c r="K503" s="309" t="str">
        <f t="shared" si="3"/>
        <v>Vanguard Extended Duration Treasury ETF</v>
      </c>
      <c r="L503" s="143">
        <f t="shared" si="4"/>
        <v>0</v>
      </c>
      <c r="M503" s="143">
        <f t="shared" si="5"/>
        <v>-4857.35</v>
      </c>
      <c r="N503" s="176" t="str">
        <f>IF($P503&lt;&gt;"",IF(MAXIFS(Investment!$M:$M,Investment!$H:$H,LEFT($P503,30)&amp;"*"),MAXIFS(Investment!$M:$M,Investment!$H:$H,LEFT($P503,30)&amp;"*"),),)</f>
        <v/>
      </c>
      <c r="O503" s="177" t="str">
        <f>IF($P503&lt;&gt;"",IF(MAXIFS(Investment!$AI:$AI,Investment!$H:$H,LEFT($P503,30)&amp;"*"),MAXIFS(Investment!$AI:$AI,Investment!$H:$H,LEFT($P503,30)&amp;"*"),),)</f>
        <v/>
      </c>
      <c r="P503" s="172"/>
      <c r="Q503" s="173"/>
      <c r="R503" s="171"/>
    </row>
    <row r="504">
      <c r="A504" s="165">
        <v>43180.0</v>
      </c>
      <c r="B504" s="166" t="s">
        <v>134</v>
      </c>
      <c r="C504" s="167" t="s">
        <v>137</v>
      </c>
      <c r="D504" s="168" t="s">
        <v>307</v>
      </c>
      <c r="E504" s="168"/>
      <c r="F504" s="169"/>
      <c r="G504" s="170">
        <v>84.01</v>
      </c>
      <c r="H504" s="167" t="s">
        <v>946</v>
      </c>
      <c r="I504" s="171" t="str">
        <f t="shared" ref="I504:J504" si="509">IFS(AND($B504&lt;&gt;"",$E504&lt;&gt;""),IF(INDEX(N:N,MATCH($C504,$P:$P,0),1)&lt;&gt;"",$E504*INDEX(N:N,MATCH($C504,$P:$P,0),1)+$G504,""),AND($B504&lt;&gt;"",$D504="COST",$G504&lt;0),$G504,TRUE,)</f>
        <v/>
      </c>
      <c r="J504" s="171" t="str">
        <f t="shared" si="509"/>
        <v/>
      </c>
      <c r="K504" s="309" t="str">
        <f t="shared" si="3"/>
        <v>Vanguard Extended Duration Treasury ETF</v>
      </c>
      <c r="L504" s="143">
        <f t="shared" si="4"/>
        <v>0</v>
      </c>
      <c r="M504" s="143">
        <f t="shared" si="5"/>
        <v>-4857.35</v>
      </c>
      <c r="N504" s="176" t="str">
        <f>IF($P504&lt;&gt;"",IF(MAXIFS(Investment!$M:$M,Investment!$H:$H,LEFT($P504,30)&amp;"*"),MAXIFS(Investment!$M:$M,Investment!$H:$H,LEFT($P504,30)&amp;"*"),),)</f>
        <v/>
      </c>
      <c r="O504" s="177" t="str">
        <f>IF($P504&lt;&gt;"",IF(MAXIFS(Investment!$AI:$AI,Investment!$H:$H,LEFT($P504,30)&amp;"*"),MAXIFS(Investment!$AI:$AI,Investment!$H:$H,LEFT($P504,30)&amp;"*"),),)</f>
        <v/>
      </c>
      <c r="P504" s="172"/>
      <c r="Q504" s="173"/>
      <c r="R504" s="171"/>
    </row>
    <row r="505">
      <c r="A505" s="165">
        <v>43180.0</v>
      </c>
      <c r="B505" s="166" t="s">
        <v>134</v>
      </c>
      <c r="C505" s="167" t="s">
        <v>137</v>
      </c>
      <c r="D505" s="168" t="s">
        <v>307</v>
      </c>
      <c r="E505" s="168"/>
      <c r="F505" s="169"/>
      <c r="G505" s="170">
        <v>476.2</v>
      </c>
      <c r="H505" s="167" t="s">
        <v>947</v>
      </c>
      <c r="I505" s="171" t="str">
        <f t="shared" ref="I505:J505" si="510">IFS(AND($B505&lt;&gt;"",$E505&lt;&gt;""),IF(INDEX(N:N,MATCH($C505,$P:$P,0),1)&lt;&gt;"",$E505*INDEX(N:N,MATCH($C505,$P:$P,0),1)+$G505,""),AND($B505&lt;&gt;"",$D505="COST",$G505&lt;0),$G505,TRUE,)</f>
        <v/>
      </c>
      <c r="J505" s="171" t="str">
        <f t="shared" si="510"/>
        <v/>
      </c>
      <c r="K505" s="309" t="str">
        <f t="shared" si="3"/>
        <v>Vanguard Extended Duration Treasury ETF</v>
      </c>
      <c r="L505" s="143">
        <f t="shared" si="4"/>
        <v>0</v>
      </c>
      <c r="M505" s="143">
        <f t="shared" si="5"/>
        <v>-4857.35</v>
      </c>
      <c r="N505" s="176" t="str">
        <f>IF($P505&lt;&gt;"",IF(MAXIFS(Investment!$M:$M,Investment!$H:$H,LEFT($P505,30)&amp;"*"),MAXIFS(Investment!$M:$M,Investment!$H:$H,LEFT($P505,30)&amp;"*"),),)</f>
        <v/>
      </c>
      <c r="O505" s="177" t="str">
        <f>IF($P505&lt;&gt;"",IF(MAXIFS(Investment!$AI:$AI,Investment!$H:$H,LEFT($P505,30)&amp;"*"),MAXIFS(Investment!$AI:$AI,Investment!$H:$H,LEFT($P505,30)&amp;"*"),),)</f>
        <v/>
      </c>
      <c r="P505" s="172"/>
      <c r="Q505" s="173"/>
      <c r="R505" s="171"/>
    </row>
    <row r="506">
      <c r="A506" s="165">
        <v>43168.0</v>
      </c>
      <c r="B506" s="166" t="s">
        <v>127</v>
      </c>
      <c r="C506" s="167" t="s">
        <v>132</v>
      </c>
      <c r="D506" s="168" t="s">
        <v>307</v>
      </c>
      <c r="E506" s="168"/>
      <c r="F506" s="169"/>
      <c r="G506" s="170">
        <v>-7.17</v>
      </c>
      <c r="H506" s="167" t="s">
        <v>948</v>
      </c>
      <c r="I506" s="171" t="str">
        <f t="shared" ref="I506:J506" si="511">IFS(AND($B506&lt;&gt;"",$E506&lt;&gt;""),IF(INDEX(N:N,MATCH($C506,$P:$P,0),1)&lt;&gt;"",$E506*INDEX(N:N,MATCH($C506,$P:$P,0),1)+$G506,""),AND($B506&lt;&gt;"",$D506="COST",$G506&lt;0),$G506,TRUE,)</f>
        <v/>
      </c>
      <c r="J506" s="171" t="str">
        <f t="shared" si="511"/>
        <v/>
      </c>
      <c r="K506" s="309" t="str">
        <f t="shared" si="3"/>
        <v>Vanguard Intermediate-Term Treasury ETF</v>
      </c>
      <c r="L506" s="143">
        <f t="shared" si="4"/>
        <v>0</v>
      </c>
      <c r="M506" s="143">
        <f t="shared" si="5"/>
        <v>-1799.24</v>
      </c>
      <c r="N506" s="176" t="str">
        <f>IF($P506&lt;&gt;"",IF(MAXIFS(Investment!$M:$M,Investment!$H:$H,LEFT($P506,30)&amp;"*"),MAXIFS(Investment!$M:$M,Investment!$H:$H,LEFT($P506,30)&amp;"*"),),)</f>
        <v/>
      </c>
      <c r="O506" s="177" t="str">
        <f>IF($P506&lt;&gt;"",IF(MAXIFS(Investment!$AI:$AI,Investment!$H:$H,LEFT($P506,30)&amp;"*"),MAXIFS(Investment!$AI:$AI,Investment!$H:$H,LEFT($P506,30)&amp;"*"),),)</f>
        <v/>
      </c>
      <c r="P506" s="172"/>
      <c r="Q506" s="173"/>
      <c r="R506" s="171"/>
    </row>
    <row r="507">
      <c r="A507" s="165">
        <v>43165.0</v>
      </c>
      <c r="B507" s="166" t="s">
        <v>127</v>
      </c>
      <c r="C507" s="167" t="s">
        <v>132</v>
      </c>
      <c r="D507" s="168" t="s">
        <v>307</v>
      </c>
      <c r="E507" s="168"/>
      <c r="F507" s="169"/>
      <c r="G507" s="170">
        <v>6.72</v>
      </c>
      <c r="H507" s="167" t="s">
        <v>949</v>
      </c>
      <c r="I507" s="171" t="str">
        <f t="shared" ref="I507:J507" si="512">IFS(AND($B507&lt;&gt;"",$E507&lt;&gt;""),IF(INDEX(N:N,MATCH($C507,$P:$P,0),1)&lt;&gt;"",$E507*INDEX(N:N,MATCH($C507,$P:$P,0),1)+$G507,""),AND($B507&lt;&gt;"",$D507="COST",$G507&lt;0),$G507,TRUE,)</f>
        <v/>
      </c>
      <c r="J507" s="171" t="str">
        <f t="shared" si="512"/>
        <v/>
      </c>
      <c r="K507" s="309" t="str">
        <f t="shared" si="3"/>
        <v>Vanguard Intermediate-Term Treasury ETF</v>
      </c>
      <c r="L507" s="143">
        <f t="shared" si="4"/>
        <v>0</v>
      </c>
      <c r="M507" s="143">
        <f t="shared" si="5"/>
        <v>-1799.24</v>
      </c>
      <c r="N507" s="176" t="str">
        <f>IF($P507&lt;&gt;"",IF(MAXIFS(Investment!$M:$M,Investment!$H:$H,LEFT($P507,30)&amp;"*"),MAXIFS(Investment!$M:$M,Investment!$H:$H,LEFT($P507,30)&amp;"*"),),)</f>
        <v/>
      </c>
      <c r="O507" s="177" t="str">
        <f>IF($P507&lt;&gt;"",IF(MAXIFS(Investment!$AI:$AI,Investment!$H:$H,LEFT($P507,30)&amp;"*"),MAXIFS(Investment!$AI:$AI,Investment!$H:$H,LEFT($P507,30)&amp;"*"),),)</f>
        <v/>
      </c>
      <c r="P507" s="172"/>
      <c r="Q507" s="173"/>
      <c r="R507" s="171"/>
    </row>
    <row r="508">
      <c r="A508" s="165">
        <v>43165.0</v>
      </c>
      <c r="B508" s="166" t="s">
        <v>127</v>
      </c>
      <c r="C508" s="167" t="s">
        <v>132</v>
      </c>
      <c r="D508" s="168" t="s">
        <v>307</v>
      </c>
      <c r="E508" s="168"/>
      <c r="F508" s="169"/>
      <c r="G508" s="170">
        <v>38.09</v>
      </c>
      <c r="H508" s="167" t="s">
        <v>950</v>
      </c>
      <c r="I508" s="171" t="str">
        <f t="shared" ref="I508:J508" si="513">IFS(AND($B508&lt;&gt;"",$E508&lt;&gt;""),IF(INDEX(N:N,MATCH($C508,$P:$P,0),1)&lt;&gt;"",$E508*INDEX(N:N,MATCH($C508,$P:$P,0),1)+$G508,""),AND($B508&lt;&gt;"",$D508="COST",$G508&lt;0),$G508,TRUE,)</f>
        <v/>
      </c>
      <c r="J508" s="171" t="str">
        <f t="shared" si="513"/>
        <v/>
      </c>
      <c r="K508" s="309" t="str">
        <f t="shared" si="3"/>
        <v>Vanguard Intermediate-Term Treasury ETF</v>
      </c>
      <c r="L508" s="143">
        <f t="shared" si="4"/>
        <v>0</v>
      </c>
      <c r="M508" s="143">
        <f t="shared" si="5"/>
        <v>-1799.24</v>
      </c>
      <c r="N508" s="176" t="str">
        <f>IF($P508&lt;&gt;"",IF(MAXIFS(Investment!$M:$M,Investment!$H:$H,LEFT($P508,30)&amp;"*"),MAXIFS(Investment!$M:$M,Investment!$H:$H,LEFT($P508,30)&amp;"*"),),)</f>
        <v/>
      </c>
      <c r="O508" s="177" t="str">
        <f>IF($P508&lt;&gt;"",IF(MAXIFS(Investment!$AI:$AI,Investment!$H:$H,LEFT($P508,30)&amp;"*"),MAXIFS(Investment!$AI:$AI,Investment!$H:$H,LEFT($P508,30)&amp;"*"),),)</f>
        <v/>
      </c>
      <c r="P508" s="172"/>
      <c r="Q508" s="173"/>
      <c r="R508" s="171"/>
    </row>
    <row r="509">
      <c r="A509" s="165">
        <v>43159.0</v>
      </c>
      <c r="B509" s="166"/>
      <c r="C509" s="167"/>
      <c r="D509" s="168" t="s">
        <v>301</v>
      </c>
      <c r="E509" s="168"/>
      <c r="F509" s="169"/>
      <c r="G509" s="170">
        <v>-166.36</v>
      </c>
      <c r="H509" s="167" t="s">
        <v>951</v>
      </c>
      <c r="I509" s="171" t="str">
        <f t="shared" ref="I509:J509" si="514">IFS(AND($B509&lt;&gt;"",$E509&lt;&gt;""),IF(INDEX(N:N,MATCH($C509,$P:$P,0),1)&lt;&gt;"",$E509*INDEX(N:N,MATCH($C509,$P:$P,0),1)+$G509,""),AND($B509&lt;&gt;"",$D509="COST",$G509&lt;0),$G509,TRUE,)</f>
        <v/>
      </c>
      <c r="J509" s="171" t="str">
        <f t="shared" si="514"/>
        <v/>
      </c>
      <c r="K509" s="309" t="str">
        <f t="shared" si="3"/>
        <v/>
      </c>
      <c r="L509" s="143" t="str">
        <f t="shared" si="4"/>
        <v/>
      </c>
      <c r="M509" s="143" t="str">
        <f t="shared" si="5"/>
        <v/>
      </c>
      <c r="N509" s="176" t="str">
        <f>IF($P509&lt;&gt;"",IF(MAXIFS(Investment!$M:$M,Investment!$H:$H,LEFT($P509,30)&amp;"*"),MAXIFS(Investment!$M:$M,Investment!$H:$H,LEFT($P509,30)&amp;"*"),),)</f>
        <v/>
      </c>
      <c r="O509" s="177" t="str">
        <f>IF($P509&lt;&gt;"",IF(MAXIFS(Investment!$AI:$AI,Investment!$H:$H,LEFT($P509,30)&amp;"*"),MAXIFS(Investment!$AI:$AI,Investment!$H:$H,LEFT($P509,30)&amp;"*"),),)</f>
        <v/>
      </c>
      <c r="P509" s="172"/>
      <c r="Q509" s="173"/>
      <c r="R509" s="171"/>
    </row>
    <row r="510">
      <c r="A510" s="165">
        <v>43143.0</v>
      </c>
      <c r="B510" s="166" t="s">
        <v>138</v>
      </c>
      <c r="C510" s="167" t="s">
        <v>139</v>
      </c>
      <c r="D510" s="168" t="s">
        <v>280</v>
      </c>
      <c r="E510" s="168">
        <v>-30.0</v>
      </c>
      <c r="F510" s="169">
        <v>40.931</v>
      </c>
      <c r="G510" s="170">
        <v>1227.93</v>
      </c>
      <c r="H510" s="167" t="s">
        <v>952</v>
      </c>
      <c r="I510" s="171">
        <f t="shared" ref="I510:J510" si="515">IFS(AND($B510&lt;&gt;"",$E510&lt;&gt;""),IF(INDEX(N:N,MATCH($C510,$P:$P,0),1)&lt;&gt;"",$E510*INDEX(N:N,MATCH($C510,$P:$P,0),1)+$G510,""),AND($B510&lt;&gt;"",$D510="COST",$G510&lt;0),$G510,TRUE,)</f>
        <v>-370.62</v>
      </c>
      <c r="J510" s="171">
        <f t="shared" si="515"/>
        <v>-216.2035294</v>
      </c>
      <c r="K510" s="309" t="str">
        <f t="shared" si="3"/>
        <v>Vanguard S&amp;P 500 UCITS</v>
      </c>
      <c r="L510" s="143">
        <f t="shared" si="4"/>
        <v>3715</v>
      </c>
      <c r="M510" s="143">
        <f t="shared" si="5"/>
        <v>-151722.66</v>
      </c>
      <c r="N510" s="176" t="str">
        <f>IF($P510&lt;&gt;"",IF(MAXIFS(Investment!$M:$M,Investment!$H:$H,LEFT($P510,30)&amp;"*"),MAXIFS(Investment!$M:$M,Investment!$H:$H,LEFT($P510,30)&amp;"*"),),)</f>
        <v/>
      </c>
      <c r="O510" s="177" t="str">
        <f>IF($P510&lt;&gt;"",IF(MAXIFS(Investment!$AI:$AI,Investment!$H:$H,LEFT($P510,30)&amp;"*"),MAXIFS(Investment!$AI:$AI,Investment!$H:$H,LEFT($P510,30)&amp;"*"),),)</f>
        <v/>
      </c>
      <c r="P510" s="172"/>
      <c r="Q510" s="173"/>
      <c r="R510" s="171"/>
    </row>
    <row r="511">
      <c r="A511" s="165">
        <v>43143.0</v>
      </c>
      <c r="B511" s="166" t="s">
        <v>138</v>
      </c>
      <c r="C511" s="167" t="s">
        <v>139</v>
      </c>
      <c r="D511" s="168" t="s">
        <v>280</v>
      </c>
      <c r="E511" s="168">
        <v>-60.0</v>
      </c>
      <c r="F511" s="169">
        <v>40.961</v>
      </c>
      <c r="G511" s="170">
        <v>2457.66</v>
      </c>
      <c r="H511" s="167" t="s">
        <v>953</v>
      </c>
      <c r="I511" s="171">
        <f t="shared" ref="I511:J511" si="516">IFS(AND($B511&lt;&gt;"",$E511&lt;&gt;""),IF(INDEX(N:N,MATCH($C511,$P:$P,0),1)&lt;&gt;"",$E511*INDEX(N:N,MATCH($C511,$P:$P,0),1)+$G511,""),AND($B511&lt;&gt;"",$D511="COST",$G511&lt;0),$G511,TRUE,)</f>
        <v>-739.44</v>
      </c>
      <c r="J511" s="171">
        <f t="shared" si="516"/>
        <v>-430.6070588</v>
      </c>
      <c r="K511" s="309" t="str">
        <f t="shared" si="3"/>
        <v>Vanguard S&amp;P 500 UCITS</v>
      </c>
      <c r="L511" s="143">
        <f t="shared" si="4"/>
        <v>3715</v>
      </c>
      <c r="M511" s="143">
        <f t="shared" si="5"/>
        <v>-151722.66</v>
      </c>
      <c r="N511" s="176" t="str">
        <f>IF($P511&lt;&gt;"",IF(MAXIFS(Investment!$M:$M,Investment!$H:$H,LEFT($P511,30)&amp;"*"),MAXIFS(Investment!$M:$M,Investment!$H:$H,LEFT($P511,30)&amp;"*"),),)</f>
        <v/>
      </c>
      <c r="O511" s="177" t="str">
        <f>IF($P511&lt;&gt;"",IF(MAXIFS(Investment!$AI:$AI,Investment!$H:$H,LEFT($P511,30)&amp;"*"),MAXIFS(Investment!$AI:$AI,Investment!$H:$H,LEFT($P511,30)&amp;"*"),),)</f>
        <v/>
      </c>
      <c r="P511" s="172"/>
      <c r="Q511" s="173"/>
      <c r="R511" s="171"/>
    </row>
    <row r="512">
      <c r="A512" s="165">
        <v>43143.0</v>
      </c>
      <c r="B512" s="166" t="s">
        <v>138</v>
      </c>
      <c r="C512" s="167" t="s">
        <v>139</v>
      </c>
      <c r="D512" s="168" t="s">
        <v>280</v>
      </c>
      <c r="E512" s="168">
        <v>-30.0</v>
      </c>
      <c r="F512" s="169">
        <v>40.966</v>
      </c>
      <c r="G512" s="170">
        <v>1228.98</v>
      </c>
      <c r="H512" s="167" t="s">
        <v>954</v>
      </c>
      <c r="I512" s="171">
        <f t="shared" ref="I512:J512" si="517">IFS(AND($B512&lt;&gt;"",$E512&lt;&gt;""),IF(INDEX(N:N,MATCH($C512,$P:$P,0),1)&lt;&gt;"",$E512*INDEX(N:N,MATCH($C512,$P:$P,0),1)+$G512,""),AND($B512&lt;&gt;"",$D512="COST",$G512&lt;0),$G512,TRUE,)</f>
        <v>-369.57</v>
      </c>
      <c r="J512" s="171">
        <f t="shared" si="517"/>
        <v>-215.1535294</v>
      </c>
      <c r="K512" s="309" t="str">
        <f t="shared" si="3"/>
        <v>Vanguard S&amp;P 500 UCITS</v>
      </c>
      <c r="L512" s="143">
        <f t="shared" si="4"/>
        <v>3715</v>
      </c>
      <c r="M512" s="143">
        <f t="shared" si="5"/>
        <v>-151722.66</v>
      </c>
      <c r="N512" s="176" t="str">
        <f>IF($P512&lt;&gt;"",IF(MAXIFS(Investment!$M:$M,Investment!$H:$H,LEFT($P512,30)&amp;"*"),MAXIFS(Investment!$M:$M,Investment!$H:$H,LEFT($P512,30)&amp;"*"),),)</f>
        <v/>
      </c>
      <c r="O512" s="177" t="str">
        <f>IF($P512&lt;&gt;"",IF(MAXIFS(Investment!$AI:$AI,Investment!$H:$H,LEFT($P512,30)&amp;"*"),MAXIFS(Investment!$AI:$AI,Investment!$H:$H,LEFT($P512,30)&amp;"*"),),)</f>
        <v/>
      </c>
      <c r="P512" s="172"/>
      <c r="Q512" s="173"/>
      <c r="R512" s="171"/>
    </row>
    <row r="513">
      <c r="A513" s="165">
        <v>43143.0</v>
      </c>
      <c r="B513" s="166" t="s">
        <v>138</v>
      </c>
      <c r="C513" s="167" t="s">
        <v>139</v>
      </c>
      <c r="D513" s="168" t="s">
        <v>280</v>
      </c>
      <c r="E513" s="168">
        <v>-30.0</v>
      </c>
      <c r="F513" s="169">
        <v>40.986</v>
      </c>
      <c r="G513" s="170">
        <v>1229.58</v>
      </c>
      <c r="H513" s="167" t="s">
        <v>955</v>
      </c>
      <c r="I513" s="171">
        <f t="shared" ref="I513:J513" si="518">IFS(AND($B513&lt;&gt;"",$E513&lt;&gt;""),IF(INDEX(N:N,MATCH($C513,$P:$P,0),1)&lt;&gt;"",$E513*INDEX(N:N,MATCH($C513,$P:$P,0),1)+$G513,""),AND($B513&lt;&gt;"",$D513="COST",$G513&lt;0),$G513,TRUE,)</f>
        <v>-368.97</v>
      </c>
      <c r="J513" s="171">
        <f t="shared" si="518"/>
        <v>-214.5535294</v>
      </c>
      <c r="K513" s="309" t="str">
        <f t="shared" si="3"/>
        <v>Vanguard S&amp;P 500 UCITS</v>
      </c>
      <c r="L513" s="143">
        <f t="shared" si="4"/>
        <v>3715</v>
      </c>
      <c r="M513" s="143">
        <f t="shared" si="5"/>
        <v>-151722.66</v>
      </c>
      <c r="N513" s="176" t="str">
        <f>IF($P513&lt;&gt;"",IF(MAXIFS(Investment!$M:$M,Investment!$H:$H,LEFT($P513,30)&amp;"*"),MAXIFS(Investment!$M:$M,Investment!$H:$H,LEFT($P513,30)&amp;"*"),),)</f>
        <v/>
      </c>
      <c r="O513" s="177" t="str">
        <f>IF($P513&lt;&gt;"",IF(MAXIFS(Investment!$AI:$AI,Investment!$H:$H,LEFT($P513,30)&amp;"*"),MAXIFS(Investment!$AI:$AI,Investment!$H:$H,LEFT($P513,30)&amp;"*"),),)</f>
        <v/>
      </c>
      <c r="P513" s="172"/>
      <c r="Q513" s="173"/>
      <c r="R513" s="171"/>
    </row>
    <row r="514">
      <c r="A514" s="165">
        <v>43138.0</v>
      </c>
      <c r="B514" s="166" t="s">
        <v>127</v>
      </c>
      <c r="C514" s="167" t="s">
        <v>132</v>
      </c>
      <c r="D514" s="168" t="s">
        <v>307</v>
      </c>
      <c r="E514" s="168"/>
      <c r="F514" s="169"/>
      <c r="G514" s="170">
        <v>-7.02</v>
      </c>
      <c r="H514" s="167" t="s">
        <v>956</v>
      </c>
      <c r="I514" s="171" t="str">
        <f t="shared" ref="I514:J514" si="519">IFS(AND($B514&lt;&gt;"",$E514&lt;&gt;""),IF(INDEX(N:N,MATCH($C514,$P:$P,0),1)&lt;&gt;"",$E514*INDEX(N:N,MATCH($C514,$P:$P,0),1)+$G514,""),AND($B514&lt;&gt;"",$D514="COST",$G514&lt;0),$G514,TRUE,)</f>
        <v/>
      </c>
      <c r="J514" s="171" t="str">
        <f t="shared" si="519"/>
        <v/>
      </c>
      <c r="K514" s="309" t="str">
        <f t="shared" si="3"/>
        <v>Vanguard Intermediate-Term Treasury ETF</v>
      </c>
      <c r="L514" s="143">
        <f t="shared" si="4"/>
        <v>0</v>
      </c>
      <c r="M514" s="143">
        <f t="shared" si="5"/>
        <v>-1799.24</v>
      </c>
      <c r="N514" s="176" t="str">
        <f>IF($P514&lt;&gt;"",IF(MAXIFS(Investment!$M:$M,Investment!$H:$H,LEFT($P514,30)&amp;"*"),MAXIFS(Investment!$M:$M,Investment!$H:$H,LEFT($P514,30)&amp;"*"),),)</f>
        <v/>
      </c>
      <c r="O514" s="177" t="str">
        <f>IF($P514&lt;&gt;"",IF(MAXIFS(Investment!$AI:$AI,Investment!$H:$H,LEFT($P514,30)&amp;"*"),MAXIFS(Investment!$AI:$AI,Investment!$H:$H,LEFT($P514,30)&amp;"*"),),)</f>
        <v/>
      </c>
      <c r="P514" s="172"/>
      <c r="Q514" s="173"/>
      <c r="R514" s="171"/>
    </row>
    <row r="515">
      <c r="A515" s="165">
        <v>43137.0</v>
      </c>
      <c r="B515" s="166" t="s">
        <v>127</v>
      </c>
      <c r="C515" s="167" t="s">
        <v>132</v>
      </c>
      <c r="D515" s="168" t="s">
        <v>307</v>
      </c>
      <c r="E515" s="168"/>
      <c r="F515" s="169"/>
      <c r="G515" s="170">
        <v>6.69</v>
      </c>
      <c r="H515" s="167" t="s">
        <v>957</v>
      </c>
      <c r="I515" s="171" t="str">
        <f t="shared" ref="I515:J515" si="520">IFS(AND($B515&lt;&gt;"",$E515&lt;&gt;""),IF(INDEX(N:N,MATCH($C515,$P:$P,0),1)&lt;&gt;"",$E515*INDEX(N:N,MATCH($C515,$P:$P,0),1)+$G515,""),AND($B515&lt;&gt;"",$D515="COST",$G515&lt;0),$G515,TRUE,)</f>
        <v/>
      </c>
      <c r="J515" s="171" t="str">
        <f t="shared" si="520"/>
        <v/>
      </c>
      <c r="K515" s="309" t="str">
        <f t="shared" si="3"/>
        <v>Vanguard Intermediate-Term Treasury ETF</v>
      </c>
      <c r="L515" s="143">
        <f t="shared" si="4"/>
        <v>0</v>
      </c>
      <c r="M515" s="143">
        <f t="shared" si="5"/>
        <v>-1799.24</v>
      </c>
      <c r="N515" s="176" t="str">
        <f>IF($P515&lt;&gt;"",IF(MAXIFS(Investment!$M:$M,Investment!$H:$H,LEFT($P515,30)&amp;"*"),MAXIFS(Investment!$M:$M,Investment!$H:$H,LEFT($P515,30)&amp;"*"),),)</f>
        <v/>
      </c>
      <c r="O515" s="177" t="str">
        <f>IF($P515&lt;&gt;"",IF(MAXIFS(Investment!$AI:$AI,Investment!$H:$H,LEFT($P515,30)&amp;"*"),MAXIFS(Investment!$AI:$AI,Investment!$H:$H,LEFT($P515,30)&amp;"*"),),)</f>
        <v/>
      </c>
      <c r="P515" s="172"/>
      <c r="Q515" s="173"/>
      <c r="R515" s="171"/>
    </row>
    <row r="516">
      <c r="A516" s="165">
        <v>43137.0</v>
      </c>
      <c r="B516" s="166" t="s">
        <v>127</v>
      </c>
      <c r="C516" s="167" t="s">
        <v>132</v>
      </c>
      <c r="D516" s="168" t="s">
        <v>307</v>
      </c>
      <c r="E516" s="168"/>
      <c r="F516" s="169"/>
      <c r="G516" s="170">
        <v>37.88</v>
      </c>
      <c r="H516" s="167" t="s">
        <v>958</v>
      </c>
      <c r="I516" s="171" t="str">
        <f t="shared" ref="I516:J516" si="521">IFS(AND($B516&lt;&gt;"",$E516&lt;&gt;""),IF(INDEX(N:N,MATCH($C516,$P:$P,0),1)&lt;&gt;"",$E516*INDEX(N:N,MATCH($C516,$P:$P,0),1)+$G516,""),AND($B516&lt;&gt;"",$D516="COST",$G516&lt;0),$G516,TRUE,)</f>
        <v/>
      </c>
      <c r="J516" s="171" t="str">
        <f t="shared" si="521"/>
        <v/>
      </c>
      <c r="K516" s="309" t="str">
        <f t="shared" si="3"/>
        <v>Vanguard Intermediate-Term Treasury ETF</v>
      </c>
      <c r="L516" s="143">
        <f t="shared" si="4"/>
        <v>0</v>
      </c>
      <c r="M516" s="143">
        <f t="shared" si="5"/>
        <v>-1799.24</v>
      </c>
      <c r="N516" s="176" t="str">
        <f>IF($P516&lt;&gt;"",IF(MAXIFS(Investment!$M:$M,Investment!$H:$H,LEFT($P516,30)&amp;"*"),MAXIFS(Investment!$M:$M,Investment!$H:$H,LEFT($P516,30)&amp;"*"),),)</f>
        <v/>
      </c>
      <c r="O516" s="177" t="str">
        <f>IF($P516&lt;&gt;"",IF(MAXIFS(Investment!$AI:$AI,Investment!$H:$H,LEFT($P516,30)&amp;"*"),MAXIFS(Investment!$AI:$AI,Investment!$H:$H,LEFT($P516,30)&amp;"*"),),)</f>
        <v/>
      </c>
      <c r="P516" s="172"/>
      <c r="Q516" s="173"/>
      <c r="R516" s="171"/>
    </row>
    <row r="517">
      <c r="A517" s="165">
        <v>43136.0</v>
      </c>
      <c r="B517" s="166"/>
      <c r="C517" s="167"/>
      <c r="D517" s="168" t="s">
        <v>301</v>
      </c>
      <c r="E517" s="168"/>
      <c r="F517" s="169"/>
      <c r="G517" s="170">
        <v>-0.01</v>
      </c>
      <c r="H517" s="167" t="s">
        <v>942</v>
      </c>
      <c r="I517" s="171" t="str">
        <f t="shared" ref="I517:J517" si="522">IFS(AND($B517&lt;&gt;"",$E517&lt;&gt;""),IF(INDEX(N:N,MATCH($C517,$P:$P,0),1)&lt;&gt;"",$E517*INDEX(N:N,MATCH($C517,$P:$P,0),1)+$G517,""),AND($B517&lt;&gt;"",$D517="COST",$G517&lt;0),$G517,TRUE,)</f>
        <v/>
      </c>
      <c r="J517" s="171" t="str">
        <f t="shared" si="522"/>
        <v/>
      </c>
      <c r="K517" s="309" t="str">
        <f t="shared" si="3"/>
        <v/>
      </c>
      <c r="L517" s="143" t="str">
        <f t="shared" si="4"/>
        <v/>
      </c>
      <c r="M517" s="143" t="str">
        <f t="shared" si="5"/>
        <v/>
      </c>
      <c r="N517" s="176" t="str">
        <f>IF($P517&lt;&gt;"",IF(MAXIFS(Investment!$M:$M,Investment!$H:$H,LEFT($P517,30)&amp;"*"),MAXIFS(Investment!$M:$M,Investment!$H:$H,LEFT($P517,30)&amp;"*"),),)</f>
        <v/>
      </c>
      <c r="O517" s="177" t="str">
        <f>IF($P517&lt;&gt;"",IF(MAXIFS(Investment!$AI:$AI,Investment!$H:$H,LEFT($P517,30)&amp;"*"),MAXIFS(Investment!$AI:$AI,Investment!$H:$H,LEFT($P517,30)&amp;"*"),),)</f>
        <v/>
      </c>
      <c r="P517" s="172"/>
      <c r="Q517" s="173"/>
      <c r="R517" s="171"/>
    </row>
    <row r="518">
      <c r="A518" s="165">
        <v>43136.0</v>
      </c>
      <c r="B518" s="166" t="s">
        <v>138</v>
      </c>
      <c r="C518" s="167" t="s">
        <v>139</v>
      </c>
      <c r="D518" s="168" t="s">
        <v>280</v>
      </c>
      <c r="E518" s="168">
        <v>-77.0</v>
      </c>
      <c r="F518" s="169">
        <v>41.946</v>
      </c>
      <c r="G518" s="170">
        <v>3229.86</v>
      </c>
      <c r="H518" s="167" t="s">
        <v>959</v>
      </c>
      <c r="I518" s="171">
        <f t="shared" ref="I518:J518" si="523">IFS(AND($B518&lt;&gt;"",$E518&lt;&gt;""),IF(INDEX(N:N,MATCH($C518,$P:$P,0),1)&lt;&gt;"",$E518*INDEX(N:N,MATCH($C518,$P:$P,0),1)+$G518,""),AND($B518&lt;&gt;"",$D518="COST",$G518&lt;0),$G518,TRUE,)</f>
        <v>-873.085</v>
      </c>
      <c r="J518" s="171">
        <f t="shared" si="523"/>
        <v>-476.7493922</v>
      </c>
      <c r="K518" s="309" t="str">
        <f t="shared" si="3"/>
        <v>Vanguard S&amp;P 500 UCITS</v>
      </c>
      <c r="L518" s="143">
        <f t="shared" si="4"/>
        <v>3715</v>
      </c>
      <c r="M518" s="143">
        <f t="shared" si="5"/>
        <v>-151722.66</v>
      </c>
      <c r="N518" s="176" t="str">
        <f>IF($P518&lt;&gt;"",IF(MAXIFS(Investment!$M:$M,Investment!$H:$H,LEFT($P518,30)&amp;"*"),MAXIFS(Investment!$M:$M,Investment!$H:$H,LEFT($P518,30)&amp;"*"),),)</f>
        <v/>
      </c>
      <c r="O518" s="177" t="str">
        <f>IF($P518&lt;&gt;"",IF(MAXIFS(Investment!$AI:$AI,Investment!$H:$H,LEFT($P518,30)&amp;"*"),MAXIFS(Investment!$AI:$AI,Investment!$H:$H,LEFT($P518,30)&amp;"*"),),)</f>
        <v/>
      </c>
      <c r="P518" s="172"/>
      <c r="Q518" s="173"/>
      <c r="R518" s="171"/>
    </row>
    <row r="519">
      <c r="A519" s="165">
        <v>43136.0</v>
      </c>
      <c r="B519" s="166" t="s">
        <v>138</v>
      </c>
      <c r="C519" s="167" t="s">
        <v>139</v>
      </c>
      <c r="D519" s="168" t="s">
        <v>280</v>
      </c>
      <c r="E519" s="168">
        <v>-98.0</v>
      </c>
      <c r="F519" s="169">
        <v>42.011</v>
      </c>
      <c r="G519" s="170">
        <v>4117.08</v>
      </c>
      <c r="H519" s="167" t="s">
        <v>960</v>
      </c>
      <c r="I519" s="171">
        <f t="shared" ref="I519:J519" si="524">IFS(AND($B519&lt;&gt;"",$E519&lt;&gt;""),IF(INDEX(N:N,MATCH($C519,$P:$P,0),1)&lt;&gt;"",$E519*INDEX(N:N,MATCH($C519,$P:$P,0),1)+$G519,""),AND($B519&lt;&gt;"",$D519="COST",$G519&lt;0),$G519,TRUE,)</f>
        <v>-1104.85</v>
      </c>
      <c r="J519" s="171">
        <f t="shared" si="524"/>
        <v>-600.4228627</v>
      </c>
      <c r="K519" s="309" t="str">
        <f t="shared" si="3"/>
        <v>Vanguard S&amp;P 500 UCITS</v>
      </c>
      <c r="L519" s="143">
        <f t="shared" si="4"/>
        <v>3715</v>
      </c>
      <c r="M519" s="143">
        <f t="shared" si="5"/>
        <v>-151722.66</v>
      </c>
      <c r="N519" s="176" t="str">
        <f>IF($P519&lt;&gt;"",IF(MAXIFS(Investment!$M:$M,Investment!$H:$H,LEFT($P519,30)&amp;"*"),MAXIFS(Investment!$M:$M,Investment!$H:$H,LEFT($P519,30)&amp;"*"),),)</f>
        <v/>
      </c>
      <c r="O519" s="177" t="str">
        <f>IF($P519&lt;&gt;"",IF(MAXIFS(Investment!$AI:$AI,Investment!$H:$H,LEFT($P519,30)&amp;"*"),MAXIFS(Investment!$AI:$AI,Investment!$H:$H,LEFT($P519,30)&amp;"*"),),)</f>
        <v/>
      </c>
      <c r="P519" s="172"/>
      <c r="Q519" s="173"/>
      <c r="R519" s="171"/>
    </row>
    <row r="520">
      <c r="A520" s="165">
        <v>43136.0</v>
      </c>
      <c r="B520" s="166" t="s">
        <v>138</v>
      </c>
      <c r="C520" s="167" t="s">
        <v>139</v>
      </c>
      <c r="D520" s="168" t="s">
        <v>280</v>
      </c>
      <c r="E520" s="168">
        <v>-240.0</v>
      </c>
      <c r="F520" s="169">
        <v>41.868</v>
      </c>
      <c r="G520" s="170">
        <v>10048.32</v>
      </c>
      <c r="H520" s="167" t="s">
        <v>961</v>
      </c>
      <c r="I520" s="171">
        <f t="shared" ref="I520:J520" si="525">IFS(AND($B520&lt;&gt;"",$E520&lt;&gt;""),IF(INDEX(N:N,MATCH($C520,$P:$P,0),1)&lt;&gt;"",$E520*INDEX(N:N,MATCH($C520,$P:$P,0),1)+$G520,""),AND($B520&lt;&gt;"",$D520="COST",$G520&lt;0),$G520,TRUE,)</f>
        <v>-2740.08</v>
      </c>
      <c r="J520" s="171">
        <f t="shared" si="525"/>
        <v>-1504.748235</v>
      </c>
      <c r="K520" s="309" t="str">
        <f t="shared" si="3"/>
        <v>Vanguard S&amp;P 500 UCITS</v>
      </c>
      <c r="L520" s="143">
        <f t="shared" si="4"/>
        <v>3715</v>
      </c>
      <c r="M520" s="143">
        <f t="shared" si="5"/>
        <v>-151722.66</v>
      </c>
      <c r="N520" s="176" t="str">
        <f>IF($P520&lt;&gt;"",IF(MAXIFS(Investment!$M:$M,Investment!$H:$H,LEFT($P520,30)&amp;"*"),MAXIFS(Investment!$M:$M,Investment!$H:$H,LEFT($P520,30)&amp;"*"),),)</f>
        <v/>
      </c>
      <c r="O520" s="177" t="str">
        <f>IF($P520&lt;&gt;"",IF(MAXIFS(Investment!$AI:$AI,Investment!$H:$H,LEFT($P520,30)&amp;"*"),MAXIFS(Investment!$AI:$AI,Investment!$H:$H,LEFT($P520,30)&amp;"*"),),)</f>
        <v/>
      </c>
      <c r="P520" s="172"/>
      <c r="Q520" s="173"/>
      <c r="R520" s="171"/>
    </row>
    <row r="521">
      <c r="A521" s="165">
        <v>43136.0</v>
      </c>
      <c r="B521" s="166" t="s">
        <v>138</v>
      </c>
      <c r="C521" s="167" t="s">
        <v>139</v>
      </c>
      <c r="D521" s="168" t="s">
        <v>280</v>
      </c>
      <c r="E521" s="168">
        <v>-38.0</v>
      </c>
      <c r="F521" s="169">
        <v>41.848</v>
      </c>
      <c r="G521" s="170">
        <v>1590.24</v>
      </c>
      <c r="H521" s="167" t="s">
        <v>962</v>
      </c>
      <c r="I521" s="171">
        <f t="shared" ref="I521:J521" si="526">IFS(AND($B521&lt;&gt;"",$E521&lt;&gt;""),IF(INDEX(N:N,MATCH($C521,$P:$P,0),1)&lt;&gt;"",$E521*INDEX(N:N,MATCH($C521,$P:$P,0),1)+$G521,""),AND($B521&lt;&gt;"",$D521="COST",$G521&lt;0),$G521,TRUE,)</f>
        <v>-434.59</v>
      </c>
      <c r="J521" s="171">
        <f t="shared" si="526"/>
        <v>-238.9958039</v>
      </c>
      <c r="K521" s="309" t="str">
        <f t="shared" si="3"/>
        <v>Vanguard S&amp;P 500 UCITS</v>
      </c>
      <c r="L521" s="143">
        <f t="shared" si="4"/>
        <v>3715</v>
      </c>
      <c r="M521" s="143">
        <f t="shared" si="5"/>
        <v>-151722.66</v>
      </c>
      <c r="N521" s="176" t="str">
        <f>IF($P521&lt;&gt;"",IF(MAXIFS(Investment!$M:$M,Investment!$H:$H,LEFT($P521,30)&amp;"*"),MAXIFS(Investment!$M:$M,Investment!$H:$H,LEFT($P521,30)&amp;"*"),),)</f>
        <v/>
      </c>
      <c r="O521" s="177" t="str">
        <f>IF($P521&lt;&gt;"",IF(MAXIFS(Investment!$AI:$AI,Investment!$H:$H,LEFT($P521,30)&amp;"*"),MAXIFS(Investment!$AI:$AI,Investment!$H:$H,LEFT($P521,30)&amp;"*"),),)</f>
        <v/>
      </c>
      <c r="P521" s="172"/>
      <c r="Q521" s="173"/>
      <c r="R521" s="171"/>
    </row>
    <row r="522">
      <c r="A522" s="165">
        <v>43136.0</v>
      </c>
      <c r="B522" s="166" t="s">
        <v>138</v>
      </c>
      <c r="C522" s="167" t="s">
        <v>139</v>
      </c>
      <c r="D522" s="168" t="s">
        <v>280</v>
      </c>
      <c r="E522" s="168">
        <v>-30.0</v>
      </c>
      <c r="F522" s="169">
        <v>41.792</v>
      </c>
      <c r="G522" s="170">
        <v>1253.76</v>
      </c>
      <c r="H522" s="167" t="s">
        <v>963</v>
      </c>
      <c r="I522" s="171">
        <f t="shared" ref="I522:J522" si="527">IFS(AND($B522&lt;&gt;"",$E522&lt;&gt;""),IF(INDEX(N:N,MATCH($C522,$P:$P,0),1)&lt;&gt;"",$E522*INDEX(N:N,MATCH($C522,$P:$P,0),1)+$G522,""),AND($B522&lt;&gt;"",$D522="COST",$G522&lt;0),$G522,TRUE,)</f>
        <v>-344.79</v>
      </c>
      <c r="J522" s="171">
        <f t="shared" si="527"/>
        <v>-190.3735294</v>
      </c>
      <c r="K522" s="309" t="str">
        <f t="shared" si="3"/>
        <v>Vanguard S&amp;P 500 UCITS</v>
      </c>
      <c r="L522" s="143">
        <f t="shared" si="4"/>
        <v>3715</v>
      </c>
      <c r="M522" s="143">
        <f t="shared" si="5"/>
        <v>-151722.66</v>
      </c>
      <c r="N522" s="176" t="str">
        <f>IF($P522&lt;&gt;"",IF(MAXIFS(Investment!$M:$M,Investment!$H:$H,LEFT($P522,30)&amp;"*"),MAXIFS(Investment!$M:$M,Investment!$H:$H,LEFT($P522,30)&amp;"*"),),)</f>
        <v/>
      </c>
      <c r="O522" s="177" t="str">
        <f>IF($P522&lt;&gt;"",IF(MAXIFS(Investment!$AI:$AI,Investment!$H:$H,LEFT($P522,30)&amp;"*"),MAXIFS(Investment!$AI:$AI,Investment!$H:$H,LEFT($P522,30)&amp;"*"),),)</f>
        <v/>
      </c>
      <c r="P522" s="172"/>
      <c r="Q522" s="173"/>
      <c r="R522" s="171"/>
    </row>
    <row r="523">
      <c r="A523" s="165">
        <v>43136.0</v>
      </c>
      <c r="B523" s="166" t="s">
        <v>138</v>
      </c>
      <c r="C523" s="167" t="s">
        <v>139</v>
      </c>
      <c r="D523" s="168" t="s">
        <v>280</v>
      </c>
      <c r="E523" s="168">
        <v>-45.0</v>
      </c>
      <c r="F523" s="169">
        <v>41.811</v>
      </c>
      <c r="G523" s="170">
        <v>1881.5</v>
      </c>
      <c r="H523" s="167" t="s">
        <v>964</v>
      </c>
      <c r="I523" s="171">
        <f t="shared" ref="I523:J523" si="528">IFS(AND($B523&lt;&gt;"",$E523&lt;&gt;""),IF(INDEX(N:N,MATCH($C523,$P:$P,0),1)&lt;&gt;"",$E523*INDEX(N:N,MATCH($C523,$P:$P,0),1)+$G523,""),AND($B523&lt;&gt;"",$D523="COST",$G523&lt;0),$G523,TRUE,)</f>
        <v>-516.325</v>
      </c>
      <c r="J523" s="171">
        <f t="shared" si="528"/>
        <v>-284.7002941</v>
      </c>
      <c r="K523" s="309" t="str">
        <f t="shared" si="3"/>
        <v>Vanguard S&amp;P 500 UCITS</v>
      </c>
      <c r="L523" s="143">
        <f t="shared" si="4"/>
        <v>3715</v>
      </c>
      <c r="M523" s="143">
        <f t="shared" si="5"/>
        <v>-151722.66</v>
      </c>
      <c r="N523" s="176" t="str">
        <f>IF($P523&lt;&gt;"",IF(MAXIFS(Investment!$M:$M,Investment!$H:$H,LEFT($P523,30)&amp;"*"),MAXIFS(Investment!$M:$M,Investment!$H:$H,LEFT($P523,30)&amp;"*"),),)</f>
        <v/>
      </c>
      <c r="O523" s="177" t="str">
        <f>IF($P523&lt;&gt;"",IF(MAXIFS(Investment!$AI:$AI,Investment!$H:$H,LEFT($P523,30)&amp;"*"),MAXIFS(Investment!$AI:$AI,Investment!$H:$H,LEFT($P523,30)&amp;"*"),),)</f>
        <v/>
      </c>
      <c r="P523" s="172"/>
      <c r="Q523" s="173"/>
      <c r="R523" s="171"/>
    </row>
    <row r="524">
      <c r="A524" s="165">
        <v>43136.0</v>
      </c>
      <c r="B524" s="166" t="s">
        <v>138</v>
      </c>
      <c r="C524" s="167" t="s">
        <v>139</v>
      </c>
      <c r="D524" s="168" t="s">
        <v>280</v>
      </c>
      <c r="E524" s="168">
        <v>-50.0</v>
      </c>
      <c r="F524" s="169">
        <v>41.796</v>
      </c>
      <c r="G524" s="170">
        <v>2089.8</v>
      </c>
      <c r="H524" s="167" t="s">
        <v>965</v>
      </c>
      <c r="I524" s="171">
        <f t="shared" ref="I524:J524" si="529">IFS(AND($B524&lt;&gt;"",$E524&lt;&gt;""),IF(INDEX(N:N,MATCH($C524,$P:$P,0),1)&lt;&gt;"",$E524*INDEX(N:N,MATCH($C524,$P:$P,0),1)+$G524,""),AND($B524&lt;&gt;"",$D524="COST",$G524&lt;0),$G524,TRUE,)</f>
        <v>-574.45</v>
      </c>
      <c r="J524" s="171">
        <f t="shared" si="529"/>
        <v>-317.0892157</v>
      </c>
      <c r="K524" s="309" t="str">
        <f t="shared" si="3"/>
        <v>Vanguard S&amp;P 500 UCITS</v>
      </c>
      <c r="L524" s="143">
        <f t="shared" si="4"/>
        <v>3715</v>
      </c>
      <c r="M524" s="143">
        <f t="shared" si="5"/>
        <v>-151722.66</v>
      </c>
      <c r="N524" s="176" t="str">
        <f>IF($P524&lt;&gt;"",IF(MAXIFS(Investment!$M:$M,Investment!$H:$H,LEFT($P524,30)&amp;"*"),MAXIFS(Investment!$M:$M,Investment!$H:$H,LEFT($P524,30)&amp;"*"),),)</f>
        <v/>
      </c>
      <c r="O524" s="177" t="str">
        <f>IF($P524&lt;&gt;"",IF(MAXIFS(Investment!$AI:$AI,Investment!$H:$H,LEFT($P524,30)&amp;"*"),MAXIFS(Investment!$AI:$AI,Investment!$H:$H,LEFT($P524,30)&amp;"*"),),)</f>
        <v/>
      </c>
      <c r="P524" s="172"/>
      <c r="Q524" s="173"/>
      <c r="R524" s="171"/>
    </row>
    <row r="525">
      <c r="A525" s="165">
        <v>43136.0</v>
      </c>
      <c r="B525" s="166" t="s">
        <v>138</v>
      </c>
      <c r="C525" s="167" t="s">
        <v>139</v>
      </c>
      <c r="D525" s="168" t="s">
        <v>280</v>
      </c>
      <c r="E525" s="168">
        <v>-20.0</v>
      </c>
      <c r="F525" s="169">
        <v>41.796</v>
      </c>
      <c r="G525" s="170">
        <v>835.92</v>
      </c>
      <c r="H525" s="167" t="s">
        <v>966</v>
      </c>
      <c r="I525" s="171">
        <f t="shared" ref="I525:J525" si="530">IFS(AND($B525&lt;&gt;"",$E525&lt;&gt;""),IF(INDEX(N:N,MATCH($C525,$P:$P,0),1)&lt;&gt;"",$E525*INDEX(N:N,MATCH($C525,$P:$P,0),1)+$G525,""),AND($B525&lt;&gt;"",$D525="COST",$G525&lt;0),$G525,TRUE,)</f>
        <v>-229.78</v>
      </c>
      <c r="J525" s="171">
        <f t="shared" si="530"/>
        <v>-126.8356863</v>
      </c>
      <c r="K525" s="309" t="str">
        <f t="shared" si="3"/>
        <v>Vanguard S&amp;P 500 UCITS</v>
      </c>
      <c r="L525" s="143">
        <f t="shared" si="4"/>
        <v>3715</v>
      </c>
      <c r="M525" s="143">
        <f t="shared" si="5"/>
        <v>-151722.66</v>
      </c>
      <c r="N525" s="176" t="str">
        <f>IF($P525&lt;&gt;"",IF(MAXIFS(Investment!$M:$M,Investment!$H:$H,LEFT($P525,30)&amp;"*"),MAXIFS(Investment!$M:$M,Investment!$H:$H,LEFT($P525,30)&amp;"*"),),)</f>
        <v/>
      </c>
      <c r="O525" s="177" t="str">
        <f>IF($P525&lt;&gt;"",IF(MAXIFS(Investment!$AI:$AI,Investment!$H:$H,LEFT($P525,30)&amp;"*"),MAXIFS(Investment!$AI:$AI,Investment!$H:$H,LEFT($P525,30)&amp;"*"),),)</f>
        <v/>
      </c>
      <c r="P525" s="172"/>
      <c r="Q525" s="173"/>
      <c r="R525" s="171"/>
    </row>
    <row r="526">
      <c r="A526" s="165">
        <v>43136.0</v>
      </c>
      <c r="B526" s="166" t="s">
        <v>138</v>
      </c>
      <c r="C526" s="167" t="s">
        <v>139</v>
      </c>
      <c r="D526" s="168" t="s">
        <v>301</v>
      </c>
      <c r="E526" s="168"/>
      <c r="F526" s="169"/>
      <c r="G526" s="170">
        <v>-2.17</v>
      </c>
      <c r="H526" s="167" t="s">
        <v>967</v>
      </c>
      <c r="I526" s="171">
        <f t="shared" ref="I526:J526" si="531">IFS(AND($B526&lt;&gt;"",$E526&lt;&gt;""),IF(INDEX(N:N,MATCH($C526,$P:$P,0),1)&lt;&gt;"",$E526*INDEX(N:N,MATCH($C526,$P:$P,0),1)+$G526,""),AND($B526&lt;&gt;"",$D526="COST",$G526&lt;0),$G526,TRUE,)</f>
        <v>-2.17</v>
      </c>
      <c r="J526" s="171">
        <f t="shared" si="531"/>
        <v>-2.17</v>
      </c>
      <c r="K526" s="309" t="str">
        <f t="shared" si="3"/>
        <v>Vanguard S&amp;P 500 UCITS</v>
      </c>
      <c r="L526" s="143">
        <f t="shared" si="4"/>
        <v>3715</v>
      </c>
      <c r="M526" s="143">
        <f t="shared" si="5"/>
        <v>-151722.66</v>
      </c>
      <c r="N526" s="176" t="str">
        <f>IF($P526&lt;&gt;"",IF(MAXIFS(Investment!$M:$M,Investment!$H:$H,LEFT($P526,30)&amp;"*"),MAXIFS(Investment!$M:$M,Investment!$H:$H,LEFT($P526,30)&amp;"*"),),)</f>
        <v/>
      </c>
      <c r="O526" s="177" t="str">
        <f>IF($P526&lt;&gt;"",IF(MAXIFS(Investment!$AI:$AI,Investment!$H:$H,LEFT($P526,30)&amp;"*"),MAXIFS(Investment!$AI:$AI,Investment!$H:$H,LEFT($P526,30)&amp;"*"),),)</f>
        <v/>
      </c>
      <c r="P526" s="172"/>
      <c r="Q526" s="173"/>
      <c r="R526" s="171"/>
    </row>
    <row r="527">
      <c r="A527" s="165">
        <v>43136.0</v>
      </c>
      <c r="B527" s="166" t="s">
        <v>138</v>
      </c>
      <c r="C527" s="167" t="s">
        <v>139</v>
      </c>
      <c r="D527" s="168" t="s">
        <v>280</v>
      </c>
      <c r="E527" s="168">
        <v>-10.0</v>
      </c>
      <c r="F527" s="169">
        <v>41.796</v>
      </c>
      <c r="G527" s="170">
        <v>417.96</v>
      </c>
      <c r="H527" s="167" t="s">
        <v>968</v>
      </c>
      <c r="I527" s="171">
        <f t="shared" ref="I527:J527" si="532">IFS(AND($B527&lt;&gt;"",$E527&lt;&gt;""),IF(INDEX(N:N,MATCH($C527,$P:$P,0),1)&lt;&gt;"",$E527*INDEX(N:N,MATCH($C527,$P:$P,0),1)+$G527,""),AND($B527&lt;&gt;"",$D527="COST",$G527&lt;0),$G527,TRUE,)</f>
        <v>-114.89</v>
      </c>
      <c r="J527" s="171">
        <f t="shared" si="532"/>
        <v>-63.41784314</v>
      </c>
      <c r="K527" s="309" t="str">
        <f t="shared" si="3"/>
        <v>Vanguard S&amp;P 500 UCITS</v>
      </c>
      <c r="L527" s="143">
        <f t="shared" si="4"/>
        <v>3715</v>
      </c>
      <c r="M527" s="143">
        <f t="shared" si="5"/>
        <v>-151722.66</v>
      </c>
      <c r="N527" s="176" t="str">
        <f>IF($P527&lt;&gt;"",IF(MAXIFS(Investment!$M:$M,Investment!$H:$H,LEFT($P527,30)&amp;"*"),MAXIFS(Investment!$M:$M,Investment!$H:$H,LEFT($P527,30)&amp;"*"),),)</f>
        <v/>
      </c>
      <c r="O527" s="177" t="str">
        <f>IF($P527&lt;&gt;"",IF(MAXIFS(Investment!$AI:$AI,Investment!$H:$H,LEFT($P527,30)&amp;"*"),MAXIFS(Investment!$AI:$AI,Investment!$H:$H,LEFT($P527,30)&amp;"*"),),)</f>
        <v/>
      </c>
      <c r="P527" s="172"/>
      <c r="Q527" s="173"/>
      <c r="R527" s="171"/>
    </row>
    <row r="528">
      <c r="A528" s="165">
        <v>43136.0</v>
      </c>
      <c r="B528" s="166" t="s">
        <v>138</v>
      </c>
      <c r="C528" s="167" t="s">
        <v>139</v>
      </c>
      <c r="D528" s="168" t="s">
        <v>301</v>
      </c>
      <c r="E528" s="168"/>
      <c r="F528" s="169"/>
      <c r="G528" s="170">
        <v>-2.08</v>
      </c>
      <c r="H528" s="167" t="s">
        <v>969</v>
      </c>
      <c r="I528" s="171">
        <f t="shared" ref="I528:J528" si="533">IFS(AND($B528&lt;&gt;"",$E528&lt;&gt;""),IF(INDEX(N:N,MATCH($C528,$P:$P,0),1)&lt;&gt;"",$E528*INDEX(N:N,MATCH($C528,$P:$P,0),1)+$G528,""),AND($B528&lt;&gt;"",$D528="COST",$G528&lt;0),$G528,TRUE,)</f>
        <v>-2.08</v>
      </c>
      <c r="J528" s="171">
        <f t="shared" si="533"/>
        <v>-2.08</v>
      </c>
      <c r="K528" s="309" t="str">
        <f t="shared" si="3"/>
        <v>Vanguard S&amp;P 500 UCITS</v>
      </c>
      <c r="L528" s="143">
        <f t="shared" si="4"/>
        <v>3715</v>
      </c>
      <c r="M528" s="143">
        <f t="shared" si="5"/>
        <v>-151722.66</v>
      </c>
      <c r="N528" s="176" t="str">
        <f>IF($P528&lt;&gt;"",IF(MAXIFS(Investment!$M:$M,Investment!$H:$H,LEFT($P528,30)&amp;"*"),MAXIFS(Investment!$M:$M,Investment!$H:$H,LEFT($P528,30)&amp;"*"),),)</f>
        <v/>
      </c>
      <c r="O528" s="177" t="str">
        <f>IF($P528&lt;&gt;"",IF(MAXIFS(Investment!$AI:$AI,Investment!$H:$H,LEFT($P528,30)&amp;"*"),MAXIFS(Investment!$AI:$AI,Investment!$H:$H,LEFT($P528,30)&amp;"*"),),)</f>
        <v/>
      </c>
      <c r="P528" s="172"/>
      <c r="Q528" s="173"/>
      <c r="R528" s="171"/>
    </row>
    <row r="529">
      <c r="A529" s="165">
        <v>43131.0</v>
      </c>
      <c r="B529" s="166"/>
      <c r="C529" s="167"/>
      <c r="D529" s="168" t="s">
        <v>301</v>
      </c>
      <c r="E529" s="168"/>
      <c r="F529" s="169"/>
      <c r="G529" s="170">
        <v>0.02</v>
      </c>
      <c r="H529" s="167" t="s">
        <v>970</v>
      </c>
      <c r="I529" s="171" t="str">
        <f t="shared" ref="I529:J529" si="534">IFS(AND($B529&lt;&gt;"",$E529&lt;&gt;""),IF(INDEX(N:N,MATCH($C529,$P:$P,0),1)&lt;&gt;"",$E529*INDEX(N:N,MATCH($C529,$P:$P,0),1)+$G529,""),AND($B529&lt;&gt;"",$D529="COST",$G529&lt;0),$G529,TRUE,)</f>
        <v/>
      </c>
      <c r="J529" s="171" t="str">
        <f t="shared" si="534"/>
        <v/>
      </c>
      <c r="K529" s="309" t="str">
        <f t="shared" si="3"/>
        <v/>
      </c>
      <c r="L529" s="143" t="str">
        <f t="shared" si="4"/>
        <v/>
      </c>
      <c r="M529" s="143" t="str">
        <f t="shared" si="5"/>
        <v/>
      </c>
      <c r="N529" s="176" t="str">
        <f>IF($P529&lt;&gt;"",IF(MAXIFS(Investment!$M:$M,Investment!$H:$H,LEFT($P529,30)&amp;"*"),MAXIFS(Investment!$M:$M,Investment!$H:$H,LEFT($P529,30)&amp;"*"),),)</f>
        <v/>
      </c>
      <c r="O529" s="177" t="str">
        <f>IF($P529&lt;&gt;"",IF(MAXIFS(Investment!$AI:$AI,Investment!$H:$H,LEFT($P529,30)&amp;"*"),MAXIFS(Investment!$AI:$AI,Investment!$H:$H,LEFT($P529,30)&amp;"*"),),)</f>
        <v/>
      </c>
      <c r="P529" s="172"/>
      <c r="Q529" s="173"/>
      <c r="R529" s="171"/>
    </row>
    <row r="530">
      <c r="A530" s="165">
        <v>43131.0</v>
      </c>
      <c r="B530" s="166"/>
      <c r="C530" s="167"/>
      <c r="D530" s="168" t="s">
        <v>301</v>
      </c>
      <c r="E530" s="168"/>
      <c r="F530" s="169"/>
      <c r="G530" s="170">
        <v>-193.75</v>
      </c>
      <c r="H530" s="167" t="s">
        <v>971</v>
      </c>
      <c r="I530" s="171" t="str">
        <f t="shared" ref="I530:J530" si="535">IFS(AND($B530&lt;&gt;"",$E530&lt;&gt;""),IF(INDEX(N:N,MATCH($C530,$P:$P,0),1)&lt;&gt;"",$E530*INDEX(N:N,MATCH($C530,$P:$P,0),1)+$G530,""),AND($B530&lt;&gt;"",$D530="COST",$G530&lt;0),$G530,TRUE,)</f>
        <v/>
      </c>
      <c r="J530" s="171" t="str">
        <f t="shared" si="535"/>
        <v/>
      </c>
      <c r="K530" s="309" t="str">
        <f t="shared" si="3"/>
        <v/>
      </c>
      <c r="L530" s="143" t="str">
        <f t="shared" si="4"/>
        <v/>
      </c>
      <c r="M530" s="143" t="str">
        <f t="shared" si="5"/>
        <v/>
      </c>
      <c r="N530" s="176" t="str">
        <f>IF($P530&lt;&gt;"",IF(MAXIFS(Investment!$M:$M,Investment!$H:$H,LEFT($P530,30)&amp;"*"),MAXIFS(Investment!$M:$M,Investment!$H:$H,LEFT($P530,30)&amp;"*"),),)</f>
        <v/>
      </c>
      <c r="O530" s="177" t="str">
        <f>IF($P530&lt;&gt;"",IF(MAXIFS(Investment!$AI:$AI,Investment!$H:$H,LEFT($P530,30)&amp;"*"),MAXIFS(Investment!$AI:$AI,Investment!$H:$H,LEFT($P530,30)&amp;"*"),),)</f>
        <v/>
      </c>
      <c r="P530" s="172"/>
      <c r="Q530" s="173"/>
      <c r="R530" s="171"/>
    </row>
    <row r="531">
      <c r="A531" s="165">
        <v>43131.0</v>
      </c>
      <c r="B531" s="166"/>
      <c r="C531" s="167"/>
      <c r="D531" s="168" t="s">
        <v>301</v>
      </c>
      <c r="E531" s="168"/>
      <c r="F531" s="169"/>
      <c r="G531" s="170">
        <v>-7.5</v>
      </c>
      <c r="H531" s="167" t="s">
        <v>972</v>
      </c>
      <c r="I531" s="171" t="str">
        <f t="shared" ref="I531:J531" si="536">IFS(AND($B531&lt;&gt;"",$E531&lt;&gt;""),IF(INDEX(N:N,MATCH($C531,$P:$P,0),1)&lt;&gt;"",$E531*INDEX(N:N,MATCH($C531,$P:$P,0),1)+$G531,""),AND($B531&lt;&gt;"",$D531="COST",$G531&lt;0),$G531,TRUE,)</f>
        <v/>
      </c>
      <c r="J531" s="171" t="str">
        <f t="shared" si="536"/>
        <v/>
      </c>
      <c r="K531" s="309" t="str">
        <f t="shared" si="3"/>
        <v/>
      </c>
      <c r="L531" s="143" t="str">
        <f t="shared" si="4"/>
        <v/>
      </c>
      <c r="M531" s="143" t="str">
        <f t="shared" si="5"/>
        <v/>
      </c>
      <c r="N531" s="176" t="str">
        <f>IF($P531&lt;&gt;"",IF(MAXIFS(Investment!$M:$M,Investment!$H:$H,LEFT($P531,30)&amp;"*"),MAXIFS(Investment!$M:$M,Investment!$H:$H,LEFT($P531,30)&amp;"*"),),)</f>
        <v/>
      </c>
      <c r="O531" s="177" t="str">
        <f>IF($P531&lt;&gt;"",IF(MAXIFS(Investment!$AI:$AI,Investment!$H:$H,LEFT($P531,30)&amp;"*"),MAXIFS(Investment!$AI:$AI,Investment!$H:$H,LEFT($P531,30)&amp;"*"),),)</f>
        <v/>
      </c>
      <c r="P531" s="172"/>
      <c r="Q531" s="173"/>
      <c r="R531" s="171"/>
    </row>
    <row r="532">
      <c r="A532" s="165">
        <v>43126.0</v>
      </c>
      <c r="B532" s="166" t="s">
        <v>118</v>
      </c>
      <c r="C532" s="167" t="s">
        <v>120</v>
      </c>
      <c r="D532" s="168" t="s">
        <v>332</v>
      </c>
      <c r="E532" s="168">
        <v>1375.0</v>
      </c>
      <c r="F532" s="169">
        <v>7.35</v>
      </c>
      <c r="G532" s="170">
        <v>-10106.25</v>
      </c>
      <c r="H532" s="167" t="s">
        <v>973</v>
      </c>
      <c r="I532" s="171">
        <f t="shared" ref="I532:J532" si="537">IFS(AND($B532&lt;&gt;"",$E532&lt;&gt;""),IF(INDEX(N:N,MATCH($C532,$P:$P,0),1)&lt;&gt;"",$E532*INDEX(N:N,MATCH($C532,$P:$P,0),1)+$G532,""),AND($B532&lt;&gt;"",$D532="COST",$G532&lt;0),$G532,TRUE,)</f>
        <v>41.25</v>
      </c>
      <c r="J532" s="171">
        <f t="shared" si="537"/>
        <v>-141.6196078</v>
      </c>
      <c r="K532" s="309" t="str">
        <f t="shared" si="3"/>
        <v>ETFS All Commodities ETC</v>
      </c>
      <c r="L532" s="143">
        <f t="shared" si="4"/>
        <v>11745</v>
      </c>
      <c r="M532" s="143">
        <f t="shared" si="5"/>
        <v>-84366.02</v>
      </c>
      <c r="N532" s="176" t="str">
        <f>IF($P532&lt;&gt;"",IF(MAXIFS(Investment!$M:$M,Investment!$H:$H,LEFT($P532,30)&amp;"*"),MAXIFS(Investment!$M:$M,Investment!$H:$H,LEFT($P532,30)&amp;"*"),),)</f>
        <v/>
      </c>
      <c r="O532" s="177" t="str">
        <f>IF($P532&lt;&gt;"",IF(MAXIFS(Investment!$AI:$AI,Investment!$H:$H,LEFT($P532,30)&amp;"*"),MAXIFS(Investment!$AI:$AI,Investment!$H:$H,LEFT($P532,30)&amp;"*"),),)</f>
        <v/>
      </c>
      <c r="P532" s="172"/>
      <c r="Q532" s="173"/>
      <c r="R532" s="171"/>
    </row>
    <row r="533">
      <c r="A533" s="165">
        <v>43126.0</v>
      </c>
      <c r="B533" s="166" t="s">
        <v>138</v>
      </c>
      <c r="C533" s="167" t="s">
        <v>139</v>
      </c>
      <c r="D533" s="168" t="s">
        <v>332</v>
      </c>
      <c r="E533" s="168">
        <v>937.0</v>
      </c>
      <c r="F533" s="169">
        <v>43.31</v>
      </c>
      <c r="G533" s="170">
        <v>-40581.47</v>
      </c>
      <c r="H533" s="167" t="s">
        <v>974</v>
      </c>
      <c r="I533" s="171">
        <f t="shared" ref="I533:J533" si="538">IFS(AND($B533&lt;&gt;"",$E533&lt;&gt;""),IF(INDEX(N:N,MATCH($C533,$P:$P,0),1)&lt;&gt;"",$E533*INDEX(N:N,MATCH($C533,$P:$P,0),1)+$G533,""),AND($B533&lt;&gt;"",$D533="COST",$G533&lt;0),$G533,TRUE,)</f>
        <v>9346.575</v>
      </c>
      <c r="J533" s="171">
        <f t="shared" si="538"/>
        <v>4523.633902</v>
      </c>
      <c r="K533" s="309" t="str">
        <f t="shared" si="3"/>
        <v>Vanguard S&amp;P 500 UCITS</v>
      </c>
      <c r="L533" s="143">
        <f t="shared" si="4"/>
        <v>3715</v>
      </c>
      <c r="M533" s="143">
        <f t="shared" si="5"/>
        <v>-151722.66</v>
      </c>
      <c r="N533" s="176" t="str">
        <f>IF($P533&lt;&gt;"",IF(MAXIFS(Investment!$M:$M,Investment!$H:$H,LEFT($P533,30)&amp;"*"),MAXIFS(Investment!$M:$M,Investment!$H:$H,LEFT($P533,30)&amp;"*"),),)</f>
        <v/>
      </c>
      <c r="O533" s="177" t="str">
        <f>IF($P533&lt;&gt;"",IF(MAXIFS(Investment!$AI:$AI,Investment!$H:$H,LEFT($P533,30)&amp;"*"),MAXIFS(Investment!$AI:$AI,Investment!$H:$H,LEFT($P533,30)&amp;"*"),),)</f>
        <v/>
      </c>
      <c r="P533" s="172"/>
      <c r="Q533" s="173"/>
      <c r="R533" s="171"/>
    </row>
    <row r="534">
      <c r="A534" s="165">
        <v>43124.0</v>
      </c>
      <c r="B534" s="166"/>
      <c r="C534" s="167"/>
      <c r="D534" s="168" t="s">
        <v>301</v>
      </c>
      <c r="E534" s="168"/>
      <c r="F534" s="169"/>
      <c r="G534" s="170">
        <v>-0.01</v>
      </c>
      <c r="H534" s="167" t="s">
        <v>942</v>
      </c>
      <c r="I534" s="171" t="str">
        <f t="shared" ref="I534:J534" si="539">IFS(AND($B534&lt;&gt;"",$E534&lt;&gt;""),IF(INDEX(N:N,MATCH($C534,$P:$P,0),1)&lt;&gt;"",$E534*INDEX(N:N,MATCH($C534,$P:$P,0),1)+$G534,""),AND($B534&lt;&gt;"",$D534="COST",$G534&lt;0),$G534,TRUE,)</f>
        <v/>
      </c>
      <c r="J534" s="171" t="str">
        <f t="shared" si="539"/>
        <v/>
      </c>
      <c r="K534" s="309" t="str">
        <f t="shared" si="3"/>
        <v/>
      </c>
      <c r="L534" s="143" t="str">
        <f t="shared" si="4"/>
        <v/>
      </c>
      <c r="M534" s="143" t="str">
        <f t="shared" si="5"/>
        <v/>
      </c>
      <c r="N534" s="176" t="str">
        <f>IF($P534&lt;&gt;"",IF(MAXIFS(Investment!$M:$M,Investment!$H:$H,LEFT($P534,30)&amp;"*"),MAXIFS(Investment!$M:$M,Investment!$H:$H,LEFT($P534,30)&amp;"*"),),)</f>
        <v/>
      </c>
      <c r="O534" s="177" t="str">
        <f>IF($P534&lt;&gt;"",IF(MAXIFS(Investment!$AI:$AI,Investment!$H:$H,LEFT($P534,30)&amp;"*"),MAXIFS(Investment!$AI:$AI,Investment!$H:$H,LEFT($P534,30)&amp;"*"),),)</f>
        <v/>
      </c>
      <c r="P534" s="172"/>
      <c r="Q534" s="173"/>
      <c r="R534" s="171"/>
    </row>
    <row r="535">
      <c r="A535" s="165">
        <v>43115.0</v>
      </c>
      <c r="B535" s="166" t="s">
        <v>118</v>
      </c>
      <c r="C535" s="167" t="s">
        <v>120</v>
      </c>
      <c r="D535" s="168" t="s">
        <v>332</v>
      </c>
      <c r="E535" s="168">
        <v>860.0</v>
      </c>
      <c r="F535" s="169">
        <v>7.395</v>
      </c>
      <c r="G535" s="170">
        <v>-6359.7</v>
      </c>
      <c r="H535" s="167" t="s">
        <v>975</v>
      </c>
      <c r="I535" s="171">
        <f t="shared" ref="I535:J535" si="540">IFS(AND($B535&lt;&gt;"",$E535&lt;&gt;""),IF(INDEX(N:N,MATCH($C535,$P:$P,0),1)&lt;&gt;"",$E535*INDEX(N:N,MATCH($C535,$P:$P,0),1)+$G535,""),AND($B535&lt;&gt;"",$D535="COST",$G535&lt;0),$G535,TRUE,)</f>
        <v>-12.9</v>
      </c>
      <c r="J535" s="171">
        <f t="shared" si="540"/>
        <v>-127.2766275</v>
      </c>
      <c r="K535" s="309" t="str">
        <f t="shared" si="3"/>
        <v>ETFS All Commodities ETC</v>
      </c>
      <c r="L535" s="143">
        <f t="shared" si="4"/>
        <v>11745</v>
      </c>
      <c r="M535" s="143">
        <f t="shared" si="5"/>
        <v>-84366.02</v>
      </c>
      <c r="N535" s="176" t="str">
        <f>IF($P535&lt;&gt;"",IF(MAXIFS(Investment!$M:$M,Investment!$H:$H,LEFT($P535,30)&amp;"*"),MAXIFS(Investment!$M:$M,Investment!$H:$H,LEFT($P535,30)&amp;"*"),),)</f>
        <v/>
      </c>
      <c r="O535" s="177" t="str">
        <f>IF($P535&lt;&gt;"",IF(MAXIFS(Investment!$AI:$AI,Investment!$H:$H,LEFT($P535,30)&amp;"*"),MAXIFS(Investment!$AI:$AI,Investment!$H:$H,LEFT($P535,30)&amp;"*"),),)</f>
        <v/>
      </c>
      <c r="P535" s="172"/>
      <c r="Q535" s="173"/>
      <c r="R535" s="171"/>
    </row>
    <row r="536">
      <c r="A536" s="165">
        <v>43115.0</v>
      </c>
      <c r="B536" s="166" t="s">
        <v>138</v>
      </c>
      <c r="C536" s="167" t="s">
        <v>139</v>
      </c>
      <c r="D536" s="168" t="s">
        <v>332</v>
      </c>
      <c r="E536" s="168">
        <v>615.0</v>
      </c>
      <c r="F536" s="169">
        <v>43.436</v>
      </c>
      <c r="G536" s="170">
        <v>-26713.14</v>
      </c>
      <c r="H536" s="167" t="s">
        <v>976</v>
      </c>
      <c r="I536" s="171">
        <f t="shared" ref="I536:J536" si="541">IFS(AND($B536&lt;&gt;"",$E536&lt;&gt;""),IF(INDEX(N:N,MATCH($C536,$P:$P,0),1)&lt;&gt;"",$E536*INDEX(N:N,MATCH($C536,$P:$P,0),1)+$G536,""),AND($B536&lt;&gt;"",$D536="COST",$G536&lt;0),$G536,TRUE,)</f>
        <v>6057.135</v>
      </c>
      <c r="J536" s="171">
        <f t="shared" si="541"/>
        <v>2891.597353</v>
      </c>
      <c r="K536" s="309" t="str">
        <f t="shared" si="3"/>
        <v>Vanguard S&amp;P 500 UCITS</v>
      </c>
      <c r="L536" s="143">
        <f t="shared" si="4"/>
        <v>3715</v>
      </c>
      <c r="M536" s="143">
        <f t="shared" si="5"/>
        <v>-151722.66</v>
      </c>
      <c r="N536" s="176" t="str">
        <f>IF($P536&lt;&gt;"",IF(MAXIFS(Investment!$M:$M,Investment!$H:$H,LEFT($P536,30)&amp;"*"),MAXIFS(Investment!$M:$M,Investment!$H:$H,LEFT($P536,30)&amp;"*"),),)</f>
        <v/>
      </c>
      <c r="O536" s="177" t="str">
        <f>IF($P536&lt;&gt;"",IF(MAXIFS(Investment!$AI:$AI,Investment!$H:$H,LEFT($P536,30)&amp;"*"),MAXIFS(Investment!$AI:$AI,Investment!$H:$H,LEFT($P536,30)&amp;"*"),),)</f>
        <v/>
      </c>
      <c r="P536" s="172"/>
      <c r="Q536" s="173"/>
      <c r="R536" s="171"/>
    </row>
    <row r="537">
      <c r="A537" s="165">
        <v>43109.0</v>
      </c>
      <c r="B537" s="166" t="s">
        <v>138</v>
      </c>
      <c r="C537" s="167" t="s">
        <v>139</v>
      </c>
      <c r="D537" s="168" t="s">
        <v>307</v>
      </c>
      <c r="E537" s="168"/>
      <c r="F537" s="169"/>
      <c r="G537" s="170">
        <v>-42.4</v>
      </c>
      <c r="H537" s="167" t="s">
        <v>977</v>
      </c>
      <c r="I537" s="171" t="str">
        <f t="shared" ref="I537:J537" si="542">IFS(AND($B537&lt;&gt;"",$E537&lt;&gt;""),IF(INDEX(N:N,MATCH($C537,$P:$P,0),1)&lt;&gt;"",$E537*INDEX(N:N,MATCH($C537,$P:$P,0),1)+$G537,""),AND($B537&lt;&gt;"",$D537="COST",$G537&lt;0),$G537,TRUE,)</f>
        <v/>
      </c>
      <c r="J537" s="171" t="str">
        <f t="shared" si="542"/>
        <v/>
      </c>
      <c r="K537" s="309" t="str">
        <f t="shared" si="3"/>
        <v>Vanguard S&amp;P 500 UCITS</v>
      </c>
      <c r="L537" s="143">
        <f t="shared" si="4"/>
        <v>3715</v>
      </c>
      <c r="M537" s="143">
        <f t="shared" si="5"/>
        <v>-151722.66</v>
      </c>
      <c r="N537" s="176" t="str">
        <f>IF($P537&lt;&gt;"",IF(MAXIFS(Investment!$M:$M,Investment!$H:$H,LEFT($P537,30)&amp;"*"),MAXIFS(Investment!$M:$M,Investment!$H:$H,LEFT($P537,30)&amp;"*"),),)</f>
        <v/>
      </c>
      <c r="O537" s="177" t="str">
        <f>IF($P537&lt;&gt;"",IF(MAXIFS(Investment!$AI:$AI,Investment!$H:$H,LEFT($P537,30)&amp;"*"),MAXIFS(Investment!$AI:$AI,Investment!$H:$H,LEFT($P537,30)&amp;"*"),),)</f>
        <v/>
      </c>
      <c r="P537" s="172"/>
      <c r="Q537" s="173"/>
      <c r="R537" s="171"/>
    </row>
    <row r="538">
      <c r="A538" s="165">
        <v>43108.0</v>
      </c>
      <c r="B538" s="166" t="s">
        <v>138</v>
      </c>
      <c r="C538" s="167" t="s">
        <v>139</v>
      </c>
      <c r="D538" s="168" t="s">
        <v>307</v>
      </c>
      <c r="E538" s="168"/>
      <c r="F538" s="169"/>
      <c r="G538" s="170">
        <v>259.89</v>
      </c>
      <c r="H538" s="167" t="s">
        <v>978</v>
      </c>
      <c r="I538" s="171" t="str">
        <f t="shared" ref="I538:J538" si="543">IFS(AND($B538&lt;&gt;"",$E538&lt;&gt;""),IF(INDEX(N:N,MATCH($C538,$P:$P,0),1)&lt;&gt;"",$E538*INDEX(N:N,MATCH($C538,$P:$P,0),1)+$G538,""),AND($B538&lt;&gt;"",$D538="COST",$G538&lt;0),$G538,TRUE,)</f>
        <v/>
      </c>
      <c r="J538" s="171" t="str">
        <f t="shared" si="543"/>
        <v/>
      </c>
      <c r="K538" s="309" t="str">
        <f t="shared" si="3"/>
        <v>Vanguard S&amp;P 500 UCITS</v>
      </c>
      <c r="L538" s="143">
        <f t="shared" si="4"/>
        <v>3715</v>
      </c>
      <c r="M538" s="143">
        <f t="shared" si="5"/>
        <v>-151722.66</v>
      </c>
      <c r="N538" s="176" t="str">
        <f>IF($P538&lt;&gt;"",IF(MAXIFS(Investment!$M:$M,Investment!$H:$H,LEFT($P538,30)&amp;"*"),MAXIFS(Investment!$M:$M,Investment!$H:$H,LEFT($P538,30)&amp;"*"),),)</f>
        <v/>
      </c>
      <c r="O538" s="177" t="str">
        <f>IF($P538&lt;&gt;"",IF(MAXIFS(Investment!$AI:$AI,Investment!$H:$H,LEFT($P538,30)&amp;"*"),MAXIFS(Investment!$AI:$AI,Investment!$H:$H,LEFT($P538,30)&amp;"*"),),)</f>
        <v/>
      </c>
      <c r="P538" s="172"/>
      <c r="Q538" s="173"/>
      <c r="R538" s="171"/>
    </row>
    <row r="539">
      <c r="A539" s="165">
        <v>43105.0</v>
      </c>
      <c r="B539" s="166"/>
      <c r="C539" s="167"/>
      <c r="D539" s="168" t="s">
        <v>299</v>
      </c>
      <c r="E539" s="168"/>
      <c r="F539" s="169"/>
      <c r="G539" s="170">
        <v>30000.0</v>
      </c>
      <c r="H539" s="167" t="s">
        <v>979</v>
      </c>
      <c r="I539" s="171" t="str">
        <f t="shared" ref="I539:J539" si="544">IFS(AND($B539&lt;&gt;"",$E539&lt;&gt;""),IF(INDEX(N:N,MATCH($C539,$P:$P,0),1)&lt;&gt;"",$E539*INDEX(N:N,MATCH($C539,$P:$P,0),1)+$G539,""),AND($B539&lt;&gt;"",$D539="COST",$G539&lt;0),$G539,TRUE,)</f>
        <v/>
      </c>
      <c r="J539" s="171" t="str">
        <f t="shared" si="544"/>
        <v/>
      </c>
      <c r="K539" s="309" t="str">
        <f t="shared" si="3"/>
        <v/>
      </c>
      <c r="L539" s="143" t="str">
        <f t="shared" si="4"/>
        <v/>
      </c>
      <c r="M539" s="143" t="str">
        <f t="shared" si="5"/>
        <v/>
      </c>
      <c r="N539" s="176" t="str">
        <f>IF($P539&lt;&gt;"",IF(MAXIFS(Investment!$M:$M,Investment!$H:$H,LEFT($P539,30)&amp;"*"),MAXIFS(Investment!$M:$M,Investment!$H:$H,LEFT($P539,30)&amp;"*"),),)</f>
        <v/>
      </c>
      <c r="O539" s="177" t="str">
        <f>IF($P539&lt;&gt;"",IF(MAXIFS(Investment!$AI:$AI,Investment!$H:$H,LEFT($P539,30)&amp;"*"),MAXIFS(Investment!$AI:$AI,Investment!$H:$H,LEFT($P539,30)&amp;"*"),),)</f>
        <v/>
      </c>
      <c r="P539" s="172"/>
      <c r="Q539" s="173"/>
      <c r="R539" s="171"/>
    </row>
    <row r="540">
      <c r="A540" s="165">
        <v>43102.0</v>
      </c>
      <c r="B540" s="166" t="s">
        <v>127</v>
      </c>
      <c r="C540" s="167" t="s">
        <v>132</v>
      </c>
      <c r="D540" s="168" t="s">
        <v>307</v>
      </c>
      <c r="E540" s="168"/>
      <c r="F540" s="169"/>
      <c r="G540" s="170">
        <v>-132.32</v>
      </c>
      <c r="H540" s="167" t="s">
        <v>980</v>
      </c>
      <c r="I540" s="171" t="str">
        <f t="shared" ref="I540:J540" si="545">IFS(AND($B540&lt;&gt;"",$E540&lt;&gt;""),IF(INDEX(N:N,MATCH($C540,$P:$P,0),1)&lt;&gt;"",$E540*INDEX(N:N,MATCH($C540,$P:$P,0),1)+$G540,""),AND($B540&lt;&gt;"",$D540="COST",$G540&lt;0),$G540,TRUE,)</f>
        <v/>
      </c>
      <c r="J540" s="171" t="str">
        <f t="shared" si="545"/>
        <v/>
      </c>
      <c r="K540" s="309" t="str">
        <f t="shared" si="3"/>
        <v>Vanguard Intermediate-Term Treasury ETF</v>
      </c>
      <c r="L540" s="143">
        <f t="shared" si="4"/>
        <v>0</v>
      </c>
      <c r="M540" s="143">
        <f t="shared" si="5"/>
        <v>-1799.24</v>
      </c>
      <c r="N540" s="176" t="str">
        <f>IF($P540&lt;&gt;"",IF(MAXIFS(Investment!$M:$M,Investment!$H:$H,LEFT($P540,30)&amp;"*"),MAXIFS(Investment!$M:$M,Investment!$H:$H,LEFT($P540,30)&amp;"*"),),)</f>
        <v/>
      </c>
      <c r="O540" s="177" t="str">
        <f>IF($P540&lt;&gt;"",IF(MAXIFS(Investment!$AI:$AI,Investment!$H:$H,LEFT($P540,30)&amp;"*"),MAXIFS(Investment!$AI:$AI,Investment!$H:$H,LEFT($P540,30)&amp;"*"),),)</f>
        <v/>
      </c>
      <c r="P540" s="172"/>
      <c r="Q540" s="173"/>
      <c r="R540" s="171"/>
    </row>
    <row r="541">
      <c r="A541" s="165">
        <v>43100.0</v>
      </c>
      <c r="B541" s="166"/>
      <c r="C541" s="167"/>
      <c r="D541" s="168" t="s">
        <v>301</v>
      </c>
      <c r="E541" s="168"/>
      <c r="F541" s="169"/>
      <c r="G541" s="170">
        <v>0.05</v>
      </c>
      <c r="H541" s="167" t="s">
        <v>981</v>
      </c>
      <c r="I541" s="171" t="str">
        <f t="shared" ref="I541:J541" si="546">IFS(AND($B541&lt;&gt;"",$E541&lt;&gt;""),IF(INDEX(N:N,MATCH($C541,$P:$P,0),1)&lt;&gt;"",$E541*INDEX(N:N,MATCH($C541,$P:$P,0),1)+$G541,""),AND($B541&lt;&gt;"",$D541="COST",$G541&lt;0),$G541,TRUE,)</f>
        <v/>
      </c>
      <c r="J541" s="171" t="str">
        <f t="shared" si="546"/>
        <v/>
      </c>
      <c r="K541" s="309" t="str">
        <f t="shared" si="3"/>
        <v/>
      </c>
      <c r="L541" s="143" t="str">
        <f t="shared" si="4"/>
        <v/>
      </c>
      <c r="M541" s="143" t="str">
        <f t="shared" si="5"/>
        <v/>
      </c>
      <c r="N541" s="176" t="str">
        <f>IF($P541&lt;&gt;"",IF(MAXIFS(Investment!$M:$M,Investment!$H:$H,LEFT($P541,30)&amp;"*"),MAXIFS(Investment!$M:$M,Investment!$H:$H,LEFT($P541,30)&amp;"*"),),)</f>
        <v/>
      </c>
      <c r="O541" s="177" t="str">
        <f>IF($P541&lt;&gt;"",IF(MAXIFS(Investment!$AI:$AI,Investment!$H:$H,LEFT($P541,30)&amp;"*"),MAXIFS(Investment!$AI:$AI,Investment!$H:$H,LEFT($P541,30)&amp;"*"),),)</f>
        <v/>
      </c>
      <c r="P541" s="172"/>
      <c r="Q541" s="173"/>
      <c r="R541" s="171"/>
    </row>
    <row r="542">
      <c r="A542" s="165">
        <v>43100.0</v>
      </c>
      <c r="B542" s="166"/>
      <c r="C542" s="167"/>
      <c r="D542" s="168" t="s">
        <v>301</v>
      </c>
      <c r="E542" s="168"/>
      <c r="F542" s="169"/>
      <c r="G542" s="170">
        <v>-127.19</v>
      </c>
      <c r="H542" s="167" t="s">
        <v>982</v>
      </c>
      <c r="I542" s="171" t="str">
        <f t="shared" ref="I542:J542" si="547">IFS(AND($B542&lt;&gt;"",$E542&lt;&gt;""),IF(INDEX(N:N,MATCH($C542,$P:$P,0),1)&lt;&gt;"",$E542*INDEX(N:N,MATCH($C542,$P:$P,0),1)+$G542,""),AND($B542&lt;&gt;"",$D542="COST",$G542&lt;0),$G542,TRUE,)</f>
        <v/>
      </c>
      <c r="J542" s="171" t="str">
        <f t="shared" si="547"/>
        <v/>
      </c>
      <c r="K542" s="309" t="str">
        <f t="shared" si="3"/>
        <v/>
      </c>
      <c r="L542" s="143" t="str">
        <f t="shared" si="4"/>
        <v/>
      </c>
      <c r="M542" s="143" t="str">
        <f t="shared" si="5"/>
        <v/>
      </c>
      <c r="N542" s="176" t="str">
        <f>IF($P542&lt;&gt;"",IF(MAXIFS(Investment!$M:$M,Investment!$H:$H,LEFT($P542,30)&amp;"*"),MAXIFS(Investment!$M:$M,Investment!$H:$H,LEFT($P542,30)&amp;"*"),),)</f>
        <v/>
      </c>
      <c r="O542" s="177" t="str">
        <f>IF($P542&lt;&gt;"",IF(MAXIFS(Investment!$AI:$AI,Investment!$H:$H,LEFT($P542,30)&amp;"*"),MAXIFS(Investment!$AI:$AI,Investment!$H:$H,LEFT($P542,30)&amp;"*"),),)</f>
        <v/>
      </c>
      <c r="P542" s="172"/>
      <c r="Q542" s="173"/>
      <c r="R542" s="171"/>
    </row>
    <row r="543">
      <c r="A543" s="165">
        <v>43098.0</v>
      </c>
      <c r="B543" s="55" t="s">
        <v>134</v>
      </c>
      <c r="C543" s="55" t="s">
        <v>137</v>
      </c>
      <c r="D543" s="55" t="s">
        <v>307</v>
      </c>
      <c r="E543" s="55"/>
      <c r="F543" s="169"/>
      <c r="G543" s="170">
        <v>91.39</v>
      </c>
      <c r="H543" s="55" t="s">
        <v>983</v>
      </c>
      <c r="I543" s="171" t="str">
        <f t="shared" ref="I543:J543" si="548">IFS(AND($B543&lt;&gt;"",$E543&lt;&gt;""),IF(INDEX(N:N,MATCH($C543,$P:$P,0),1)&lt;&gt;"",$E543*INDEX(N:N,MATCH($C543,$P:$P,0),1)+$G543,""),AND($B543&lt;&gt;"",$D543="COST",$G543&lt;0),$G543,TRUE,)</f>
        <v/>
      </c>
      <c r="J543" s="171" t="str">
        <f t="shared" si="548"/>
        <v/>
      </c>
      <c r="K543" s="309" t="str">
        <f t="shared" si="3"/>
        <v>Vanguard Extended Duration Treasury ETF</v>
      </c>
      <c r="L543" s="143">
        <f t="shared" si="4"/>
        <v>0</v>
      </c>
      <c r="M543" s="143">
        <f t="shared" si="5"/>
        <v>-4857.35</v>
      </c>
      <c r="N543" s="176" t="str">
        <f>IF($P543&lt;&gt;"",IF(MAXIFS(Investment!$M:$M,Investment!$H:$H,LEFT($P543,30)&amp;"*"),MAXIFS(Investment!$M:$M,Investment!$H:$H,LEFT($P543,30)&amp;"*"),),)</f>
        <v/>
      </c>
      <c r="O543" s="177" t="str">
        <f>IF($P543&lt;&gt;"",IF(MAXIFS(Investment!$AI:$AI,Investment!$H:$H,LEFT($P543,30)&amp;"*"),MAXIFS(Investment!$AI:$AI,Investment!$H:$H,LEFT($P543,30)&amp;"*"),),)</f>
        <v/>
      </c>
      <c r="P543" s="172"/>
      <c r="Q543" s="173"/>
      <c r="R543" s="171"/>
    </row>
    <row r="544">
      <c r="A544" s="165">
        <v>43098.0</v>
      </c>
      <c r="B544" s="166" t="s">
        <v>134</v>
      </c>
      <c r="C544" s="167" t="s">
        <v>137</v>
      </c>
      <c r="D544" s="168" t="s">
        <v>307</v>
      </c>
      <c r="E544" s="168"/>
      <c r="F544" s="169"/>
      <c r="G544" s="170">
        <v>208.14</v>
      </c>
      <c r="H544" s="167" t="s">
        <v>984</v>
      </c>
      <c r="I544" s="171" t="str">
        <f t="shared" ref="I544:J544" si="549">IFS(AND($B544&lt;&gt;"",$E544&lt;&gt;""),IF(INDEX(N:N,MATCH($C544,$P:$P,0),1)&lt;&gt;"",$E544*INDEX(N:N,MATCH($C544,$P:$P,0),1)+$G544,""),AND($B544&lt;&gt;"",$D544="COST",$G544&lt;0),$G544,TRUE,)</f>
        <v/>
      </c>
      <c r="J544" s="171" t="str">
        <f t="shared" si="549"/>
        <v/>
      </c>
      <c r="K544" s="309" t="str">
        <f t="shared" si="3"/>
        <v>Vanguard Extended Duration Treasury ETF</v>
      </c>
      <c r="L544" s="143">
        <f t="shared" si="4"/>
        <v>0</v>
      </c>
      <c r="M544" s="143">
        <f t="shared" si="5"/>
        <v>-4857.35</v>
      </c>
      <c r="N544" s="176" t="str">
        <f>IF($P544&lt;&gt;"",IF(MAXIFS(Investment!$M:$M,Investment!$H:$H,LEFT($P544,30)&amp;"*"),MAXIFS(Investment!$M:$M,Investment!$H:$H,LEFT($P544,30)&amp;"*"),),)</f>
        <v/>
      </c>
      <c r="O544" s="177" t="str">
        <f>IF($P544&lt;&gt;"",IF(MAXIFS(Investment!$AI:$AI,Investment!$H:$H,LEFT($P544,30)&amp;"*"),MAXIFS(Investment!$AI:$AI,Investment!$H:$H,LEFT($P544,30)&amp;"*"),),)</f>
        <v/>
      </c>
      <c r="P544" s="172"/>
      <c r="Q544" s="173"/>
      <c r="R544" s="171"/>
    </row>
    <row r="545">
      <c r="A545" s="165">
        <v>43098.0</v>
      </c>
      <c r="B545" s="166" t="s">
        <v>127</v>
      </c>
      <c r="C545" s="167" t="s">
        <v>132</v>
      </c>
      <c r="D545" s="168" t="s">
        <v>307</v>
      </c>
      <c r="E545" s="168"/>
      <c r="F545" s="169"/>
      <c r="G545" s="170">
        <v>43.79</v>
      </c>
      <c r="H545" s="167" t="s">
        <v>985</v>
      </c>
      <c r="I545" s="171" t="str">
        <f t="shared" ref="I545:J545" si="550">IFS(AND($B545&lt;&gt;"",$E545&lt;&gt;""),IF(INDEX(N:N,MATCH($C545,$P:$P,0),1)&lt;&gt;"",$E545*INDEX(N:N,MATCH($C545,$P:$P,0),1)+$G545,""),AND($B545&lt;&gt;"",$D545="COST",$G545&lt;0),$G545,TRUE,)</f>
        <v/>
      </c>
      <c r="J545" s="171" t="str">
        <f t="shared" si="550"/>
        <v/>
      </c>
      <c r="K545" s="309" t="str">
        <f t="shared" si="3"/>
        <v>Vanguard Intermediate-Term Treasury ETF</v>
      </c>
      <c r="L545" s="143">
        <f t="shared" si="4"/>
        <v>0</v>
      </c>
      <c r="M545" s="143">
        <f t="shared" si="5"/>
        <v>-1799.24</v>
      </c>
      <c r="N545" s="176" t="str">
        <f>IF($P545&lt;&gt;"",IF(MAXIFS(Investment!$M:$M,Investment!$H:$H,LEFT($P545,30)&amp;"*"),MAXIFS(Investment!$M:$M,Investment!$H:$H,LEFT($P545,30)&amp;"*"),),)</f>
        <v/>
      </c>
      <c r="O545" s="177" t="str">
        <f>IF($P545&lt;&gt;"",IF(MAXIFS(Investment!$AI:$AI,Investment!$H:$H,LEFT($P545,30)&amp;"*"),MAXIFS(Investment!$AI:$AI,Investment!$H:$H,LEFT($P545,30)&amp;"*"),),)</f>
        <v/>
      </c>
      <c r="P545" s="172"/>
      <c r="Q545" s="173"/>
      <c r="R545" s="171"/>
    </row>
    <row r="546">
      <c r="A546" s="165">
        <v>43098.0</v>
      </c>
      <c r="B546" s="166" t="s">
        <v>134</v>
      </c>
      <c r="C546" s="167" t="s">
        <v>137</v>
      </c>
      <c r="D546" s="168" t="s">
        <v>307</v>
      </c>
      <c r="E546" s="168"/>
      <c r="F546" s="169"/>
      <c r="G546" s="170">
        <v>519.88</v>
      </c>
      <c r="H546" s="167" t="s">
        <v>986</v>
      </c>
      <c r="I546" s="171" t="str">
        <f t="shared" ref="I546:J546" si="551">IFS(AND($B546&lt;&gt;"",$E546&lt;&gt;""),IF(INDEX(N:N,MATCH($C546,$P:$P,0),1)&lt;&gt;"",$E546*INDEX(N:N,MATCH($C546,$P:$P,0),1)+$G546,""),AND($B546&lt;&gt;"",$D546="COST",$G546&lt;0),$G546,TRUE,)</f>
        <v/>
      </c>
      <c r="J546" s="171" t="str">
        <f t="shared" si="551"/>
        <v/>
      </c>
      <c r="K546" s="309" t="str">
        <f t="shared" si="3"/>
        <v>Vanguard Extended Duration Treasury ETF</v>
      </c>
      <c r="L546" s="143">
        <f t="shared" si="4"/>
        <v>0</v>
      </c>
      <c r="M546" s="143">
        <f t="shared" si="5"/>
        <v>-4857.35</v>
      </c>
      <c r="N546" s="176" t="str">
        <f>IF($P546&lt;&gt;"",IF(MAXIFS(Investment!$M:$M,Investment!$H:$H,LEFT($P546,30)&amp;"*"),MAXIFS(Investment!$M:$M,Investment!$H:$H,LEFT($P546,30)&amp;"*"),),)</f>
        <v/>
      </c>
      <c r="O546" s="177" t="str">
        <f>IF($P546&lt;&gt;"",IF(MAXIFS(Investment!$AI:$AI,Investment!$H:$H,LEFT($P546,30)&amp;"*"),MAXIFS(Investment!$AI:$AI,Investment!$H:$H,LEFT($P546,30)&amp;"*"),),)</f>
        <v/>
      </c>
      <c r="P546" s="172"/>
      <c r="Q546" s="173"/>
      <c r="R546" s="171"/>
    </row>
    <row r="547">
      <c r="A547" s="165">
        <v>43090.0</v>
      </c>
      <c r="B547" s="166" t="s">
        <v>138</v>
      </c>
      <c r="C547" s="167" t="s">
        <v>139</v>
      </c>
      <c r="D547" s="168" t="s">
        <v>280</v>
      </c>
      <c r="E547" s="168">
        <v>-26.0</v>
      </c>
      <c r="F547" s="169">
        <v>42.848</v>
      </c>
      <c r="G547" s="170">
        <v>1114.05</v>
      </c>
      <c r="H547" s="167" t="s">
        <v>987</v>
      </c>
      <c r="I547" s="171">
        <f t="shared" ref="I547:J547" si="552">IFS(AND($B547&lt;&gt;"",$E547&lt;&gt;""),IF(INDEX(N:N,MATCH($C547,$P:$P,0),1)&lt;&gt;"",$E547*INDEX(N:N,MATCH($C547,$P:$P,0),1)+$G547,""),AND($B547&lt;&gt;"",$D547="COST",$G547&lt;0),$G547,TRUE,)</f>
        <v>-271.36</v>
      </c>
      <c r="J547" s="171">
        <f t="shared" si="552"/>
        <v>-137.5323922</v>
      </c>
      <c r="K547" s="309" t="str">
        <f t="shared" si="3"/>
        <v>Vanguard S&amp;P 500 UCITS</v>
      </c>
      <c r="L547" s="143">
        <f t="shared" si="4"/>
        <v>3715</v>
      </c>
      <c r="M547" s="143">
        <f t="shared" si="5"/>
        <v>-151722.66</v>
      </c>
      <c r="N547" s="176" t="str">
        <f>IF($P547&lt;&gt;"",IF(MAXIFS(Investment!$M:$M,Investment!$H:$H,LEFT($P547,30)&amp;"*"),MAXIFS(Investment!$M:$M,Investment!$H:$H,LEFT($P547,30)&amp;"*"),),)</f>
        <v/>
      </c>
      <c r="O547" s="177" t="str">
        <f>IF($P547&lt;&gt;"",IF(MAXIFS(Investment!$AI:$AI,Investment!$H:$H,LEFT($P547,30)&amp;"*"),MAXIFS(Investment!$AI:$AI,Investment!$H:$H,LEFT($P547,30)&amp;"*"),),)</f>
        <v/>
      </c>
      <c r="P547" s="172"/>
      <c r="Q547" s="173"/>
      <c r="R547" s="171"/>
    </row>
    <row r="548">
      <c r="A548" s="165">
        <v>43090.0</v>
      </c>
      <c r="B548" s="166" t="s">
        <v>138</v>
      </c>
      <c r="C548" s="167" t="s">
        <v>139</v>
      </c>
      <c r="D548" s="168" t="s">
        <v>301</v>
      </c>
      <c r="E548" s="168"/>
      <c r="F548" s="169"/>
      <c r="G548" s="170">
        <v>-2.22</v>
      </c>
      <c r="H548" s="167" t="s">
        <v>988</v>
      </c>
      <c r="I548" s="171">
        <f t="shared" ref="I548:J548" si="553">IFS(AND($B548&lt;&gt;"",$E548&lt;&gt;""),IF(INDEX(N:N,MATCH($C548,$P:$P,0),1)&lt;&gt;"",$E548*INDEX(N:N,MATCH($C548,$P:$P,0),1)+$G548,""),AND($B548&lt;&gt;"",$D548="COST",$G548&lt;0),$G548,TRUE,)</f>
        <v>-2.22</v>
      </c>
      <c r="J548" s="171">
        <f t="shared" si="553"/>
        <v>-2.22</v>
      </c>
      <c r="K548" s="309" t="str">
        <f t="shared" si="3"/>
        <v>Vanguard S&amp;P 500 UCITS</v>
      </c>
      <c r="L548" s="143">
        <f t="shared" si="4"/>
        <v>3715</v>
      </c>
      <c r="M548" s="143">
        <f t="shared" si="5"/>
        <v>-151722.66</v>
      </c>
      <c r="N548" s="176" t="str">
        <f>IF($P548&lt;&gt;"",IF(MAXIFS(Investment!$M:$M,Investment!$H:$H,LEFT($P548,30)&amp;"*"),MAXIFS(Investment!$M:$M,Investment!$H:$H,LEFT($P548,30)&amp;"*"),),)</f>
        <v/>
      </c>
      <c r="O548" s="177" t="str">
        <f>IF($P548&lt;&gt;"",IF(MAXIFS(Investment!$AI:$AI,Investment!$H:$H,LEFT($P548,30)&amp;"*"),MAXIFS(Investment!$AI:$AI,Investment!$H:$H,LEFT($P548,30)&amp;"*"),),)</f>
        <v/>
      </c>
      <c r="P548" s="172"/>
      <c r="Q548" s="173"/>
      <c r="R548" s="171"/>
    </row>
    <row r="549">
      <c r="A549" s="165">
        <v>43089.0</v>
      </c>
      <c r="B549" s="166" t="s">
        <v>134</v>
      </c>
      <c r="C549" s="167" t="s">
        <v>137</v>
      </c>
      <c r="D549" s="168" t="s">
        <v>332</v>
      </c>
      <c r="E549" s="168">
        <v>11.0</v>
      </c>
      <c r="F549" s="169">
        <v>99.46</v>
      </c>
      <c r="G549" s="170">
        <v>-1094.1</v>
      </c>
      <c r="H549" s="167" t="s">
        <v>989</v>
      </c>
      <c r="I549" s="171" t="str">
        <f t="shared" ref="I549:J549" si="554">IFS(AND($B549&lt;&gt;"",$E549&lt;&gt;""),IF(INDEX(N:N,MATCH($C549,$P:$P,0),1)&lt;&gt;"",$E549*INDEX(N:N,MATCH($C549,$P:$P,0),1)+$G549,""),AND($B549&lt;&gt;"",$D549="COST",$G549&lt;0),$G549,TRUE,)</f>
        <v/>
      </c>
      <c r="J549" s="171" t="str">
        <f t="shared" si="554"/>
        <v/>
      </c>
      <c r="K549" s="309" t="str">
        <f t="shared" si="3"/>
        <v>Vanguard Extended Duration Treasury ETF</v>
      </c>
      <c r="L549" s="143">
        <f t="shared" si="4"/>
        <v>0</v>
      </c>
      <c r="M549" s="143">
        <f t="shared" si="5"/>
        <v>-4857.35</v>
      </c>
      <c r="N549" s="176" t="str">
        <f>IF($P549&lt;&gt;"",IF(MAXIFS(Investment!$M:$M,Investment!$H:$H,LEFT($P549,30)&amp;"*"),MAXIFS(Investment!$M:$M,Investment!$H:$H,LEFT($P549,30)&amp;"*"),),)</f>
        <v/>
      </c>
      <c r="O549" s="177" t="str">
        <f>IF($P549&lt;&gt;"",IF(MAXIFS(Investment!$AI:$AI,Investment!$H:$H,LEFT($P549,30)&amp;"*"),MAXIFS(Investment!$AI:$AI,Investment!$H:$H,LEFT($P549,30)&amp;"*"),),)</f>
        <v/>
      </c>
      <c r="P549" s="172"/>
      <c r="Q549" s="173"/>
      <c r="R549" s="171"/>
    </row>
    <row r="550">
      <c r="A550" s="165">
        <v>43080.0</v>
      </c>
      <c r="B550" s="166" t="s">
        <v>118</v>
      </c>
      <c r="C550" s="167" t="s">
        <v>120</v>
      </c>
      <c r="D550" s="168" t="s">
        <v>332</v>
      </c>
      <c r="E550" s="168">
        <v>311.0</v>
      </c>
      <c r="F550" s="169">
        <v>7.225</v>
      </c>
      <c r="G550" s="170">
        <v>-2246.97</v>
      </c>
      <c r="H550" s="167" t="s">
        <v>990</v>
      </c>
      <c r="I550" s="171">
        <f t="shared" ref="I550:J550" si="555">IFS(AND($B550&lt;&gt;"",$E550&lt;&gt;""),IF(INDEX(N:N,MATCH($C550,$P:$P,0),1)&lt;&gt;"",$E550*INDEX(N:N,MATCH($C550,$P:$P,0),1)+$G550,""),AND($B550&lt;&gt;"",$D550="COST",$G550&lt;0),$G550,TRUE,)</f>
        <v>48.21</v>
      </c>
      <c r="J550" s="171">
        <f t="shared" si="555"/>
        <v>6.848219608</v>
      </c>
      <c r="K550" s="309" t="str">
        <f t="shared" si="3"/>
        <v>ETFS All Commodities ETC</v>
      </c>
      <c r="L550" s="143">
        <f t="shared" si="4"/>
        <v>11745</v>
      </c>
      <c r="M550" s="143">
        <f t="shared" si="5"/>
        <v>-84366.02</v>
      </c>
      <c r="N550" s="176" t="str">
        <f>IF($P550&lt;&gt;"",IF(MAXIFS(Investment!$M:$M,Investment!$H:$H,LEFT($P550,30)&amp;"*"),MAXIFS(Investment!$M:$M,Investment!$H:$H,LEFT($P550,30)&amp;"*"),),)</f>
        <v/>
      </c>
      <c r="O550" s="177" t="str">
        <f>IF($P550&lt;&gt;"",IF(MAXIFS(Investment!$AI:$AI,Investment!$H:$H,LEFT($P550,30)&amp;"*"),MAXIFS(Investment!$AI:$AI,Investment!$H:$H,LEFT($P550,30)&amp;"*"),),)</f>
        <v/>
      </c>
      <c r="P550" s="172"/>
      <c r="Q550" s="173"/>
      <c r="R550" s="171"/>
    </row>
    <row r="551">
      <c r="A551" s="165">
        <v>43080.0</v>
      </c>
      <c r="B551" s="166" t="s">
        <v>138</v>
      </c>
      <c r="C551" s="167" t="s">
        <v>139</v>
      </c>
      <c r="D551" s="168" t="s">
        <v>332</v>
      </c>
      <c r="E551" s="168">
        <v>206.0</v>
      </c>
      <c r="F551" s="169">
        <v>42.94</v>
      </c>
      <c r="G551" s="170">
        <v>-8845.64</v>
      </c>
      <c r="H551" s="167" t="s">
        <v>991</v>
      </c>
      <c r="I551" s="171">
        <f t="shared" ref="I551:J551" si="556">IFS(AND($B551&lt;&gt;"",$E551&lt;&gt;""),IF(INDEX(N:N,MATCH($C551,$P:$P,0),1)&lt;&gt;"",$E551*INDEX(N:N,MATCH($C551,$P:$P,0),1)+$G551,""),AND($B551&lt;&gt;"",$D551="COST",$G551&lt;0),$G551,TRUE,)</f>
        <v>2131.07</v>
      </c>
      <c r="J551" s="171">
        <f t="shared" si="556"/>
        <v>1070.743569</v>
      </c>
      <c r="K551" s="309" t="str">
        <f t="shared" si="3"/>
        <v>Vanguard S&amp;P 500 UCITS</v>
      </c>
      <c r="L551" s="143">
        <f t="shared" si="4"/>
        <v>3715</v>
      </c>
      <c r="M551" s="143">
        <f t="shared" si="5"/>
        <v>-151722.66</v>
      </c>
      <c r="N551" s="176" t="str">
        <f>IF($P551&lt;&gt;"",IF(MAXIFS(Investment!$M:$M,Investment!$H:$H,LEFT($P551,30)&amp;"*"),MAXIFS(Investment!$M:$M,Investment!$H:$H,LEFT($P551,30)&amp;"*"),),)</f>
        <v/>
      </c>
      <c r="O551" s="177" t="str">
        <f>IF($P551&lt;&gt;"",IF(MAXIFS(Investment!$AI:$AI,Investment!$H:$H,LEFT($P551,30)&amp;"*"),MAXIFS(Investment!$AI:$AI,Investment!$H:$H,LEFT($P551,30)&amp;"*"),),)</f>
        <v/>
      </c>
      <c r="P551" s="172"/>
      <c r="Q551" s="173"/>
      <c r="R551" s="171"/>
    </row>
    <row r="552">
      <c r="A552" s="165">
        <v>43080.0</v>
      </c>
      <c r="B552" s="166" t="s">
        <v>122</v>
      </c>
      <c r="C552" s="167" t="s">
        <v>125</v>
      </c>
      <c r="D552" s="168" t="s">
        <v>332</v>
      </c>
      <c r="E552" s="168">
        <v>267.0</v>
      </c>
      <c r="F552" s="169">
        <v>10.17</v>
      </c>
      <c r="G552" s="170">
        <v>-2714.52</v>
      </c>
      <c r="H552" s="167" t="s">
        <v>992</v>
      </c>
      <c r="I552" s="171" t="str">
        <f t="shared" ref="I552:J552" si="557">IFS(AND($B552&lt;&gt;"",$E552&lt;&gt;""),IF(INDEX(N:N,MATCH($C552,$P:$P,0),1)&lt;&gt;"",$E552*INDEX(N:N,MATCH($C552,$P:$P,0),1)+$G552,""),AND($B552&lt;&gt;"",$D552="COST",$G552&lt;0),$G552,TRUE,)</f>
        <v/>
      </c>
      <c r="J552" s="171" t="str">
        <f t="shared" si="557"/>
        <v/>
      </c>
      <c r="K552" s="309" t="str">
        <f t="shared" si="3"/>
        <v>iShares Gold Trust</v>
      </c>
      <c r="L552" s="143">
        <f t="shared" si="4"/>
        <v>0</v>
      </c>
      <c r="M552" s="143">
        <f t="shared" si="5"/>
        <v>140.23</v>
      </c>
      <c r="N552" s="176" t="str">
        <f>IF($P552&lt;&gt;"",IF(MAXIFS(Investment!$M:$M,Investment!$H:$H,LEFT($P552,30)&amp;"*"),MAXIFS(Investment!$M:$M,Investment!$H:$H,LEFT($P552,30)&amp;"*"),),)</f>
        <v/>
      </c>
      <c r="O552" s="177" t="str">
        <f>IF($P552&lt;&gt;"",IF(MAXIFS(Investment!$AI:$AI,Investment!$H:$H,LEFT($P552,30)&amp;"*"),MAXIFS(Investment!$AI:$AI,Investment!$H:$H,LEFT($P552,30)&amp;"*"),),)</f>
        <v/>
      </c>
      <c r="P552" s="172"/>
      <c r="Q552" s="173"/>
      <c r="R552" s="171"/>
    </row>
    <row r="553">
      <c r="A553" s="165">
        <v>43080.0</v>
      </c>
      <c r="B553" s="166" t="s">
        <v>134</v>
      </c>
      <c r="C553" s="167" t="s">
        <v>137</v>
      </c>
      <c r="D553" s="168" t="s">
        <v>332</v>
      </c>
      <c r="E553" s="168">
        <v>108.0</v>
      </c>
      <c r="F553" s="169">
        <v>103.18</v>
      </c>
      <c r="G553" s="170">
        <v>-11143.33</v>
      </c>
      <c r="H553" s="167" t="s">
        <v>993</v>
      </c>
      <c r="I553" s="171" t="str">
        <f t="shared" ref="I553:J553" si="558">IFS(AND($B553&lt;&gt;"",$E553&lt;&gt;""),IF(INDEX(N:N,MATCH($C553,$P:$P,0),1)&lt;&gt;"",$E553*INDEX(N:N,MATCH($C553,$P:$P,0),1)+$G553,""),AND($B553&lt;&gt;"",$D553="COST",$G553&lt;0),$G553,TRUE,)</f>
        <v/>
      </c>
      <c r="J553" s="171" t="str">
        <f t="shared" si="558"/>
        <v/>
      </c>
      <c r="K553" s="309" t="str">
        <f t="shared" si="3"/>
        <v>Vanguard Extended Duration Treasury ETF</v>
      </c>
      <c r="L553" s="143">
        <f t="shared" si="4"/>
        <v>0</v>
      </c>
      <c r="M553" s="143">
        <f t="shared" si="5"/>
        <v>-4857.35</v>
      </c>
      <c r="N553" s="176" t="str">
        <f>IF($P553&lt;&gt;"",IF(MAXIFS(Investment!$M:$M,Investment!$H:$H,LEFT($P553,30)&amp;"*"),MAXIFS(Investment!$M:$M,Investment!$H:$H,LEFT($P553,30)&amp;"*"),),)</f>
        <v/>
      </c>
      <c r="O553" s="177" t="str">
        <f>IF($P553&lt;&gt;"",IF(MAXIFS(Investment!$AI:$AI,Investment!$H:$H,LEFT($P553,30)&amp;"*"),MAXIFS(Investment!$AI:$AI,Investment!$H:$H,LEFT($P553,30)&amp;"*"),),)</f>
        <v/>
      </c>
      <c r="P553" s="172"/>
      <c r="Q553" s="173"/>
      <c r="R553" s="171"/>
    </row>
    <row r="554">
      <c r="A554" s="165">
        <v>43080.0</v>
      </c>
      <c r="B554" s="166" t="s">
        <v>127</v>
      </c>
      <c r="C554" s="167" t="s">
        <v>132</v>
      </c>
      <c r="D554" s="168" t="s">
        <v>301</v>
      </c>
      <c r="E554" s="168"/>
      <c r="F554" s="169"/>
      <c r="G554" s="170">
        <v>-3.0</v>
      </c>
      <c r="H554" s="167" t="s">
        <v>994</v>
      </c>
      <c r="I554" s="171">
        <f t="shared" ref="I554:J554" si="559">IFS(AND($B554&lt;&gt;"",$E554&lt;&gt;""),IF(INDEX(N:N,MATCH($C554,$P:$P,0),1)&lt;&gt;"",$E554*INDEX(N:N,MATCH($C554,$P:$P,0),1)+$G554,""),AND($B554&lt;&gt;"",$D554="COST",$G554&lt;0),$G554,TRUE,)</f>
        <v>-3</v>
      </c>
      <c r="J554" s="171">
        <f t="shared" si="559"/>
        <v>-3</v>
      </c>
      <c r="K554" s="309" t="str">
        <f t="shared" si="3"/>
        <v>Vanguard Intermediate-Term Treasury ETF</v>
      </c>
      <c r="L554" s="143">
        <f t="shared" si="4"/>
        <v>0</v>
      </c>
      <c r="M554" s="143">
        <f t="shared" si="5"/>
        <v>-1799.24</v>
      </c>
      <c r="N554" s="176" t="str">
        <f>IF($P554&lt;&gt;"",IF(MAXIFS(Investment!$M:$M,Investment!$H:$H,LEFT($P554,30)&amp;"*"),MAXIFS(Investment!$M:$M,Investment!$H:$H,LEFT($P554,30)&amp;"*"),),)</f>
        <v/>
      </c>
      <c r="O554" s="177" t="str">
        <f>IF($P554&lt;&gt;"",IF(MAXIFS(Investment!$AI:$AI,Investment!$H:$H,LEFT($P554,30)&amp;"*"),MAXIFS(Investment!$AI:$AI,Investment!$H:$H,LEFT($P554,30)&amp;"*"),),)</f>
        <v/>
      </c>
      <c r="P554" s="310"/>
      <c r="Q554" s="143"/>
      <c r="R554" s="259"/>
    </row>
    <row r="555">
      <c r="A555" s="165">
        <v>43080.0</v>
      </c>
      <c r="B555" s="166" t="s">
        <v>127</v>
      </c>
      <c r="C555" s="167" t="s">
        <v>132</v>
      </c>
      <c r="D555" s="168" t="s">
        <v>332</v>
      </c>
      <c r="E555" s="168">
        <v>92.0</v>
      </c>
      <c r="F555" s="169">
        <v>54.49</v>
      </c>
      <c r="G555" s="170">
        <v>-5013.47</v>
      </c>
      <c r="H555" s="167" t="s">
        <v>995</v>
      </c>
      <c r="I555" s="171" t="str">
        <f t="shared" ref="I555:J555" si="560">IFS(AND($B555&lt;&gt;"",$E555&lt;&gt;""),IF(INDEX(N:N,MATCH($C555,$P:$P,0),1)&lt;&gt;"",$E555*INDEX(N:N,MATCH($C555,$P:$P,0),1)+$G555,""),AND($B555&lt;&gt;"",$D555="COST",$G555&lt;0),$G555,TRUE,)</f>
        <v/>
      </c>
      <c r="J555" s="171" t="str">
        <f t="shared" si="560"/>
        <v/>
      </c>
      <c r="K555" s="309" t="str">
        <f t="shared" si="3"/>
        <v>Vanguard Intermediate-Term Treasury ETF</v>
      </c>
      <c r="L555" s="143">
        <f t="shared" si="4"/>
        <v>0</v>
      </c>
      <c r="M555" s="143">
        <f t="shared" si="5"/>
        <v>-1799.24</v>
      </c>
      <c r="N555" s="176" t="str">
        <f>IF($P555&lt;&gt;"",IF(MAXIFS(Investment!$M:$M,Investment!$H:$H,LEFT($P555,30)&amp;"*"),MAXIFS(Investment!$M:$M,Investment!$H:$H,LEFT($P555,30)&amp;"*"),),)</f>
        <v/>
      </c>
      <c r="O555" s="177" t="str">
        <f>IF($P555&lt;&gt;"",IF(MAXIFS(Investment!$AI:$AI,Investment!$H:$H,LEFT($P555,30)&amp;"*"),MAXIFS(Investment!$AI:$AI,Investment!$H:$H,LEFT($P555,30)&amp;"*"),),)</f>
        <v/>
      </c>
      <c r="P555" s="172"/>
      <c r="Q555" s="173"/>
      <c r="R555" s="171"/>
    </row>
    <row r="556">
      <c r="A556" s="165">
        <v>43076.0</v>
      </c>
      <c r="B556" s="166" t="s">
        <v>127</v>
      </c>
      <c r="C556" s="167" t="s">
        <v>132</v>
      </c>
      <c r="D556" s="168" t="s">
        <v>307</v>
      </c>
      <c r="E556" s="168"/>
      <c r="F556" s="169"/>
      <c r="G556" s="170">
        <v>-4.96</v>
      </c>
      <c r="H556" s="167" t="s">
        <v>996</v>
      </c>
      <c r="I556" s="171" t="str">
        <f t="shared" ref="I556:J556" si="561">IFS(AND($B556&lt;&gt;"",$E556&lt;&gt;""),IF(INDEX(N:N,MATCH($C556,$P:$P,0),1)&lt;&gt;"",$E556*INDEX(N:N,MATCH($C556,$P:$P,0),1)+$G556,""),AND($B556&lt;&gt;"",$D556="COST",$G556&lt;0),$G556,TRUE,)</f>
        <v/>
      </c>
      <c r="J556" s="171" t="str">
        <f t="shared" si="561"/>
        <v/>
      </c>
      <c r="K556" s="309" t="str">
        <f t="shared" si="3"/>
        <v>Vanguard Intermediate-Term Treasury ETF</v>
      </c>
      <c r="L556" s="143">
        <f t="shared" si="4"/>
        <v>0</v>
      </c>
      <c r="M556" s="143">
        <f t="shared" si="5"/>
        <v>-1799.24</v>
      </c>
      <c r="N556" s="176" t="str">
        <f>IF($P556&lt;&gt;"",IF(MAXIFS(Investment!$M:$M,Investment!$H:$H,LEFT($P556,30)&amp;"*"),MAXIFS(Investment!$M:$M,Investment!$H:$H,LEFT($P556,30)&amp;"*"),),)</f>
        <v/>
      </c>
      <c r="O556" s="177" t="str">
        <f>IF($P556&lt;&gt;"",IF(MAXIFS(Investment!$AI:$AI,Investment!$H:$H,LEFT($P556,30)&amp;"*"),MAXIFS(Investment!$AI:$AI,Investment!$H:$H,LEFT($P556,30)&amp;"*"),),)</f>
        <v/>
      </c>
      <c r="P556" s="172"/>
      <c r="Q556" s="173"/>
      <c r="R556" s="171"/>
    </row>
    <row r="557">
      <c r="A557" s="165">
        <v>43075.0</v>
      </c>
      <c r="B557" s="166" t="s">
        <v>127</v>
      </c>
      <c r="C557" s="167" t="s">
        <v>132</v>
      </c>
      <c r="D557" s="168" t="s">
        <v>307</v>
      </c>
      <c r="E557" s="168"/>
      <c r="F557" s="169"/>
      <c r="G557" s="170">
        <v>32.39</v>
      </c>
      <c r="H557" s="167" t="s">
        <v>997</v>
      </c>
      <c r="I557" s="171" t="str">
        <f t="shared" ref="I557:J557" si="562">IFS(AND($B557&lt;&gt;"",$E557&lt;&gt;""),IF(INDEX(N:N,MATCH($C557,$P:$P,0),1)&lt;&gt;"",$E557*INDEX(N:N,MATCH($C557,$P:$P,0),1)+$G557,""),AND($B557&lt;&gt;"",$D557="COST",$G557&lt;0),$G557,TRUE,)</f>
        <v/>
      </c>
      <c r="J557" s="171" t="str">
        <f t="shared" si="562"/>
        <v/>
      </c>
      <c r="K557" s="309" t="str">
        <f t="shared" si="3"/>
        <v>Vanguard Intermediate-Term Treasury ETF</v>
      </c>
      <c r="L557" s="143">
        <f t="shared" si="4"/>
        <v>0</v>
      </c>
      <c r="M557" s="143">
        <f t="shared" si="5"/>
        <v>-1799.24</v>
      </c>
      <c r="N557" s="176" t="str">
        <f>IF($P557&lt;&gt;"",IF(MAXIFS(Investment!$M:$M,Investment!$H:$H,LEFT($P557,30)&amp;"*"),MAXIFS(Investment!$M:$M,Investment!$H:$H,LEFT($P557,30)&amp;"*"),),)</f>
        <v/>
      </c>
      <c r="O557" s="177" t="str">
        <f>IF($P557&lt;&gt;"",IF(MAXIFS(Investment!$AI:$AI,Investment!$H:$H,LEFT($P557,30)&amp;"*"),MAXIFS(Investment!$AI:$AI,Investment!$H:$H,LEFT($P557,30)&amp;"*"),),)</f>
        <v/>
      </c>
      <c r="P557" s="172"/>
      <c r="Q557" s="173"/>
      <c r="R557" s="171"/>
    </row>
    <row r="558">
      <c r="A558" s="165">
        <v>43069.0</v>
      </c>
      <c r="B558" s="166"/>
      <c r="C558" s="167"/>
      <c r="D558" s="168" t="s">
        <v>301</v>
      </c>
      <c r="E558" s="168"/>
      <c r="F558" s="169"/>
      <c r="G558" s="170">
        <v>-102.08</v>
      </c>
      <c r="H558" s="167" t="s">
        <v>998</v>
      </c>
      <c r="I558" s="171" t="str">
        <f t="shared" ref="I558:J558" si="563">IFS(AND($B558&lt;&gt;"",$E558&lt;&gt;""),IF(INDEX(N:N,MATCH($C558,$P:$P,0),1)&lt;&gt;"",$E558*INDEX(N:N,MATCH($C558,$P:$P,0),1)+$G558,""),AND($B558&lt;&gt;"",$D558="COST",$G558&lt;0),$G558,TRUE,)</f>
        <v/>
      </c>
      <c r="J558" s="171" t="str">
        <f t="shared" si="563"/>
        <v/>
      </c>
      <c r="K558" s="309" t="str">
        <f t="shared" si="3"/>
        <v/>
      </c>
      <c r="L558" s="143" t="str">
        <f t="shared" si="4"/>
        <v/>
      </c>
      <c r="M558" s="143" t="str">
        <f t="shared" si="5"/>
        <v/>
      </c>
      <c r="N558" s="176" t="str">
        <f>IF($P558&lt;&gt;"",IF(MAXIFS(Investment!$M:$M,Investment!$H:$H,LEFT($P558,30)&amp;"*"),MAXIFS(Investment!$M:$M,Investment!$H:$H,LEFT($P558,30)&amp;"*"),),)</f>
        <v/>
      </c>
      <c r="O558" s="177" t="str">
        <f>IF($P558&lt;&gt;"",IF(MAXIFS(Investment!$AI:$AI,Investment!$H:$H,LEFT($P558,30)&amp;"*"),MAXIFS(Investment!$AI:$AI,Investment!$H:$H,LEFT($P558,30)&amp;"*"),),)</f>
        <v/>
      </c>
      <c r="P558" s="172"/>
      <c r="Q558" s="173"/>
      <c r="R558" s="171"/>
    </row>
    <row r="559">
      <c r="A559" s="165">
        <v>43069.0</v>
      </c>
      <c r="B559" s="166"/>
      <c r="C559" s="167"/>
      <c r="D559" s="168" t="s">
        <v>299</v>
      </c>
      <c r="E559" s="168"/>
      <c r="F559" s="169"/>
      <c r="G559" s="170">
        <v>10000.0</v>
      </c>
      <c r="H559" s="167" t="s">
        <v>999</v>
      </c>
      <c r="I559" s="171" t="str">
        <f t="shared" ref="I559:J559" si="564">IFS(AND($B559&lt;&gt;"",$E559&lt;&gt;""),IF(INDEX(N:N,MATCH($C559,$P:$P,0),1)&lt;&gt;"",$E559*INDEX(N:N,MATCH($C559,$P:$P,0),1)+$G559,""),AND($B559&lt;&gt;"",$D559="COST",$G559&lt;0),$G559,TRUE,)</f>
        <v/>
      </c>
      <c r="J559" s="171" t="str">
        <f t="shared" si="564"/>
        <v/>
      </c>
      <c r="K559" s="309" t="str">
        <f t="shared" si="3"/>
        <v/>
      </c>
      <c r="L559" s="143" t="str">
        <f t="shared" si="4"/>
        <v/>
      </c>
      <c r="M559" s="143" t="str">
        <f t="shared" si="5"/>
        <v/>
      </c>
      <c r="N559" s="176" t="str">
        <f>IF($P559&lt;&gt;"",IF(MAXIFS(Investment!$M:$M,Investment!$H:$H,LEFT($P559,30)&amp;"*"),MAXIFS(Investment!$M:$M,Investment!$H:$H,LEFT($P559,30)&amp;"*"),),)</f>
        <v/>
      </c>
      <c r="O559" s="177" t="str">
        <f>IF($P559&lt;&gt;"",IF(MAXIFS(Investment!$AI:$AI,Investment!$H:$H,LEFT($P559,30)&amp;"*"),MAXIFS(Investment!$AI:$AI,Investment!$H:$H,LEFT($P559,30)&amp;"*"),),)</f>
        <v/>
      </c>
      <c r="P559" s="172"/>
      <c r="Q559" s="173"/>
      <c r="R559" s="171"/>
    </row>
    <row r="560">
      <c r="A560" s="165">
        <v>43066.0</v>
      </c>
      <c r="B560" s="166" t="s">
        <v>134</v>
      </c>
      <c r="C560" s="167" t="s">
        <v>137</v>
      </c>
      <c r="D560" s="168" t="s">
        <v>332</v>
      </c>
      <c r="E560" s="168">
        <v>10.0</v>
      </c>
      <c r="F560" s="169">
        <v>101.56</v>
      </c>
      <c r="G560" s="170">
        <v>-1015.59</v>
      </c>
      <c r="H560" s="167" t="s">
        <v>1000</v>
      </c>
      <c r="I560" s="171" t="str">
        <f t="shared" ref="I560:J560" si="565">IFS(AND($B560&lt;&gt;"",$E560&lt;&gt;""),IF(INDEX(N:N,MATCH($C560,$P:$P,0),1)&lt;&gt;"",$E560*INDEX(N:N,MATCH($C560,$P:$P,0),1)+$G560,""),AND($B560&lt;&gt;"",$D560="COST",$G560&lt;0),$G560,TRUE,)</f>
        <v/>
      </c>
      <c r="J560" s="171" t="str">
        <f t="shared" si="565"/>
        <v/>
      </c>
      <c r="K560" s="309" t="str">
        <f t="shared" si="3"/>
        <v>Vanguard Extended Duration Treasury ETF</v>
      </c>
      <c r="L560" s="143">
        <f t="shared" si="4"/>
        <v>0</v>
      </c>
      <c r="M560" s="143">
        <f t="shared" si="5"/>
        <v>-4857.35</v>
      </c>
      <c r="N560" s="176" t="str">
        <f>IF($P560&lt;&gt;"",IF(MAXIFS(Investment!$M:$M,Investment!$H:$H,LEFT($P560,30)&amp;"*"),MAXIFS(Investment!$M:$M,Investment!$H:$H,LEFT($P560,30)&amp;"*"),),)</f>
        <v/>
      </c>
      <c r="O560" s="177" t="str">
        <f>IF($P560&lt;&gt;"",IF(MAXIFS(Investment!$AI:$AI,Investment!$H:$H,LEFT($P560,30)&amp;"*"),MAXIFS(Investment!$AI:$AI,Investment!$H:$H,LEFT($P560,30)&amp;"*"),),)</f>
        <v/>
      </c>
      <c r="P560" s="172"/>
      <c r="Q560" s="173"/>
      <c r="R560" s="171"/>
    </row>
    <row r="561">
      <c r="A561" s="165">
        <v>43056.0</v>
      </c>
      <c r="B561" s="166"/>
      <c r="C561" s="167"/>
      <c r="D561" s="168" t="s">
        <v>299</v>
      </c>
      <c r="E561" s="168"/>
      <c r="F561" s="169"/>
      <c r="G561" s="170">
        <v>1000.0</v>
      </c>
      <c r="H561" s="167" t="s">
        <v>1001</v>
      </c>
      <c r="I561" s="171" t="str">
        <f t="shared" ref="I561:J561" si="566">IFS(AND($B561&lt;&gt;"",$E561&lt;&gt;""),IF(INDEX(N:N,MATCH($C561,$P:$P,0),1)&lt;&gt;"",$E561*INDEX(N:N,MATCH($C561,$P:$P,0),1)+$G561,""),AND($B561&lt;&gt;"",$D561="COST",$G561&lt;0),$G561,TRUE,)</f>
        <v/>
      </c>
      <c r="J561" s="171" t="str">
        <f t="shared" si="566"/>
        <v/>
      </c>
      <c r="K561" s="309" t="str">
        <f t="shared" si="3"/>
        <v/>
      </c>
      <c r="L561" s="143" t="str">
        <f t="shared" si="4"/>
        <v/>
      </c>
      <c r="M561" s="143" t="str">
        <f t="shared" si="5"/>
        <v/>
      </c>
      <c r="N561" s="176" t="str">
        <f>IF($P561&lt;&gt;"",IF(MAXIFS(Investment!$M:$M,Investment!$H:$H,LEFT($P561,30)&amp;"*"),MAXIFS(Investment!$M:$M,Investment!$H:$H,LEFT($P561,30)&amp;"*"),),)</f>
        <v/>
      </c>
      <c r="O561" s="177" t="str">
        <f>IF($P561&lt;&gt;"",IF(MAXIFS(Investment!$AI:$AI,Investment!$H:$H,LEFT($P561,30)&amp;"*"),MAXIFS(Investment!$AI:$AI,Investment!$H:$H,LEFT($P561,30)&amp;"*"),),)</f>
        <v/>
      </c>
      <c r="P561" s="172"/>
      <c r="Q561" s="173"/>
      <c r="R561" s="171"/>
    </row>
    <row r="562">
      <c r="A562" s="165">
        <v>43046.0</v>
      </c>
      <c r="B562" s="166" t="s">
        <v>127</v>
      </c>
      <c r="C562" s="167" t="s">
        <v>132</v>
      </c>
      <c r="D562" s="168" t="s">
        <v>307</v>
      </c>
      <c r="E562" s="168"/>
      <c r="F562" s="169"/>
      <c r="G562" s="170">
        <v>-3.92</v>
      </c>
      <c r="H562" s="167" t="s">
        <v>1002</v>
      </c>
      <c r="I562" s="171" t="str">
        <f t="shared" ref="I562:J562" si="567">IFS(AND($B562&lt;&gt;"",$E562&lt;&gt;""),IF(INDEX(N:N,MATCH($C562,$P:$P,0),1)&lt;&gt;"",$E562*INDEX(N:N,MATCH($C562,$P:$P,0),1)+$G562,""),AND($B562&lt;&gt;"",$D562="COST",$G562&lt;0),$G562,TRUE,)</f>
        <v/>
      </c>
      <c r="J562" s="171" t="str">
        <f t="shared" si="567"/>
        <v/>
      </c>
      <c r="K562" s="309" t="str">
        <f t="shared" si="3"/>
        <v>Vanguard Intermediate-Term Treasury ETF</v>
      </c>
      <c r="L562" s="143">
        <f t="shared" si="4"/>
        <v>0</v>
      </c>
      <c r="M562" s="143">
        <f t="shared" si="5"/>
        <v>-1799.24</v>
      </c>
      <c r="N562" s="176" t="str">
        <f>IF($P562&lt;&gt;"",IF(MAXIFS(Investment!$M:$M,Investment!$H:$H,LEFT($P562,30)&amp;"*"),MAXIFS(Investment!$M:$M,Investment!$H:$H,LEFT($P562,30)&amp;"*"),),)</f>
        <v/>
      </c>
      <c r="O562" s="177" t="str">
        <f>IF($P562&lt;&gt;"",IF(MAXIFS(Investment!$AI:$AI,Investment!$H:$H,LEFT($P562,30)&amp;"*"),MAXIFS(Investment!$AI:$AI,Investment!$H:$H,LEFT($P562,30)&amp;"*"),),)</f>
        <v/>
      </c>
      <c r="P562" s="172"/>
      <c r="Q562" s="173"/>
      <c r="R562" s="171"/>
    </row>
    <row r="563">
      <c r="A563" s="165">
        <v>43046.0</v>
      </c>
      <c r="B563" s="166" t="s">
        <v>138</v>
      </c>
      <c r="C563" s="167" t="s">
        <v>139</v>
      </c>
      <c r="D563" s="168" t="s">
        <v>332</v>
      </c>
      <c r="E563" s="168">
        <v>48.0</v>
      </c>
      <c r="F563" s="169">
        <v>42.6</v>
      </c>
      <c r="G563" s="170">
        <v>-2044.75</v>
      </c>
      <c r="H563" s="167" t="s">
        <v>1003</v>
      </c>
      <c r="I563" s="171">
        <f t="shared" ref="I563:J563" si="568">IFS(AND($B563&lt;&gt;"",$E563&lt;&gt;""),IF(INDEX(N:N,MATCH($C563,$P:$P,0),1)&lt;&gt;"",$E563*INDEX(N:N,MATCH($C563,$P:$P,0),1)+$G563,""),AND($B563&lt;&gt;"",$D563="COST",$G563&lt;0),$G563,TRUE,)</f>
        <v>512.93</v>
      </c>
      <c r="J563" s="171">
        <f t="shared" si="568"/>
        <v>265.8636471</v>
      </c>
      <c r="K563" s="309" t="str">
        <f t="shared" si="3"/>
        <v>Vanguard S&amp;P 500 UCITS</v>
      </c>
      <c r="L563" s="143">
        <f t="shared" si="4"/>
        <v>3715</v>
      </c>
      <c r="M563" s="143">
        <f t="shared" si="5"/>
        <v>-151722.66</v>
      </c>
      <c r="N563" s="176" t="str">
        <f>IF($P563&lt;&gt;"",IF(MAXIFS(Investment!$M:$M,Investment!$H:$H,LEFT($P563,30)&amp;"*"),MAXIFS(Investment!$M:$M,Investment!$H:$H,LEFT($P563,30)&amp;"*"),),)</f>
        <v/>
      </c>
      <c r="O563" s="177" t="str">
        <f>IF($P563&lt;&gt;"",IF(MAXIFS(Investment!$AI:$AI,Investment!$H:$H,LEFT($P563,30)&amp;"*"),MAXIFS(Investment!$AI:$AI,Investment!$H:$H,LEFT($P563,30)&amp;"*"),),)</f>
        <v/>
      </c>
      <c r="P563" s="172"/>
      <c r="Q563" s="173"/>
      <c r="R563" s="171"/>
    </row>
    <row r="564">
      <c r="A564" s="165">
        <v>43046.0</v>
      </c>
      <c r="B564" s="166" t="s">
        <v>127</v>
      </c>
      <c r="C564" s="167" t="s">
        <v>132</v>
      </c>
      <c r="D564" s="168" t="s">
        <v>301</v>
      </c>
      <c r="E564" s="168"/>
      <c r="F564" s="169"/>
      <c r="G564" s="170">
        <v>-2.31</v>
      </c>
      <c r="H564" s="167" t="s">
        <v>1004</v>
      </c>
      <c r="I564" s="171">
        <f t="shared" ref="I564:J564" si="569">IFS(AND($B564&lt;&gt;"",$E564&lt;&gt;""),IF(INDEX(N:N,MATCH($C564,$P:$P,0),1)&lt;&gt;"",$E564*INDEX(N:N,MATCH($C564,$P:$P,0),1)+$G564,""),AND($B564&lt;&gt;"",$D564="COST",$G564&lt;0),$G564,TRUE,)</f>
        <v>-2.31</v>
      </c>
      <c r="J564" s="171">
        <f t="shared" si="569"/>
        <v>-2.31</v>
      </c>
      <c r="K564" s="309" t="str">
        <f t="shared" si="3"/>
        <v>Vanguard Intermediate-Term Treasury ETF</v>
      </c>
      <c r="L564" s="143">
        <f t="shared" si="4"/>
        <v>0</v>
      </c>
      <c r="M564" s="143">
        <f t="shared" si="5"/>
        <v>-1799.24</v>
      </c>
      <c r="N564" s="176" t="str">
        <f>IF($P564&lt;&gt;"",IF(MAXIFS(Investment!$M:$M,Investment!$H:$H,LEFT($P564,30)&amp;"*"),MAXIFS(Investment!$M:$M,Investment!$H:$H,LEFT($P564,30)&amp;"*"),),)</f>
        <v/>
      </c>
      <c r="O564" s="177" t="str">
        <f>IF($P564&lt;&gt;"",IF(MAXIFS(Investment!$AI:$AI,Investment!$H:$H,LEFT($P564,30)&amp;"*"),MAXIFS(Investment!$AI:$AI,Investment!$H:$H,LEFT($P564,30)&amp;"*"),),)</f>
        <v/>
      </c>
      <c r="P564" s="172"/>
      <c r="Q564" s="173"/>
      <c r="R564" s="171"/>
    </row>
    <row r="565">
      <c r="A565" s="165">
        <v>43046.0</v>
      </c>
      <c r="B565" s="166" t="s">
        <v>118</v>
      </c>
      <c r="C565" s="167" t="s">
        <v>120</v>
      </c>
      <c r="D565" s="168" t="s">
        <v>332</v>
      </c>
      <c r="E565" s="168">
        <v>132.0</v>
      </c>
      <c r="F565" s="169">
        <v>7.675</v>
      </c>
      <c r="G565" s="170">
        <v>-1013.1</v>
      </c>
      <c r="H565" s="167" t="s">
        <v>1005</v>
      </c>
      <c r="I565" s="171">
        <f t="shared" ref="I565:J565" si="570">IFS(AND($B565&lt;&gt;"",$E565&lt;&gt;""),IF(INDEX(N:N,MATCH($C565,$P:$P,0),1)&lt;&gt;"",$E565*INDEX(N:N,MATCH($C565,$P:$P,0),1)+$G565,""),AND($B565&lt;&gt;"",$D565="COST",$G565&lt;0),$G565,TRUE,)</f>
        <v>-38.94</v>
      </c>
      <c r="J565" s="171">
        <f t="shared" si="570"/>
        <v>-56.49548235</v>
      </c>
      <c r="K565" s="309" t="str">
        <f t="shared" si="3"/>
        <v>ETFS All Commodities ETC</v>
      </c>
      <c r="L565" s="143">
        <f t="shared" si="4"/>
        <v>11745</v>
      </c>
      <c r="M565" s="143">
        <f t="shared" si="5"/>
        <v>-84366.02</v>
      </c>
      <c r="N565" s="176" t="str">
        <f>IF($P565&lt;&gt;"",IF(MAXIFS(Investment!$M:$M,Investment!$H:$H,LEFT($P565,30)&amp;"*"),MAXIFS(Investment!$M:$M,Investment!$H:$H,LEFT($P565,30)&amp;"*"),),)</f>
        <v/>
      </c>
      <c r="O565" s="177" t="str">
        <f>IF($P565&lt;&gt;"",IF(MAXIFS(Investment!$AI:$AI,Investment!$H:$H,LEFT($P565,30)&amp;"*"),MAXIFS(Investment!$AI:$AI,Investment!$H:$H,LEFT($P565,30)&amp;"*"),),)</f>
        <v/>
      </c>
      <c r="P565" s="172"/>
      <c r="Q565" s="173"/>
      <c r="R565" s="171"/>
    </row>
    <row r="566">
      <c r="A566" s="165">
        <v>43046.0</v>
      </c>
      <c r="B566" s="166" t="s">
        <v>134</v>
      </c>
      <c r="C566" s="167" t="s">
        <v>137</v>
      </c>
      <c r="D566" s="168" t="s">
        <v>332</v>
      </c>
      <c r="E566" s="168">
        <v>27.0</v>
      </c>
      <c r="F566" s="169">
        <v>103.66</v>
      </c>
      <c r="G566" s="170">
        <v>-2798.71</v>
      </c>
      <c r="H566" s="167" t="s">
        <v>1006</v>
      </c>
      <c r="I566" s="171" t="str">
        <f t="shared" ref="I566:J566" si="571">IFS(AND($B566&lt;&gt;"",$E566&lt;&gt;""),IF(INDEX(N:N,MATCH($C566,$P:$P,0),1)&lt;&gt;"",$E566*INDEX(N:N,MATCH($C566,$P:$P,0),1)+$G566,""),AND($B566&lt;&gt;"",$D566="COST",$G566&lt;0),$G566,TRUE,)</f>
        <v/>
      </c>
      <c r="J566" s="171" t="str">
        <f t="shared" si="571"/>
        <v/>
      </c>
      <c r="K566" s="309" t="str">
        <f t="shared" si="3"/>
        <v>Vanguard Extended Duration Treasury ETF</v>
      </c>
      <c r="L566" s="143">
        <f t="shared" si="4"/>
        <v>0</v>
      </c>
      <c r="M566" s="143">
        <f t="shared" si="5"/>
        <v>-4857.35</v>
      </c>
      <c r="N566" s="176" t="str">
        <f>IF($P566&lt;&gt;"",IF(MAXIFS(Investment!$M:$M,Investment!$H:$H,LEFT($P566,30)&amp;"*"),MAXIFS(Investment!$M:$M,Investment!$H:$H,LEFT($P566,30)&amp;"*"),),)</f>
        <v/>
      </c>
      <c r="O566" s="177" t="str">
        <f>IF($P566&lt;&gt;"",IF(MAXIFS(Investment!$AI:$AI,Investment!$H:$H,LEFT($P566,30)&amp;"*"),MAXIFS(Investment!$AI:$AI,Investment!$H:$H,LEFT($P566,30)&amp;"*"),),)</f>
        <v/>
      </c>
      <c r="P566" s="172"/>
      <c r="Q566" s="173"/>
      <c r="R566" s="171"/>
    </row>
    <row r="567">
      <c r="A567" s="165">
        <v>43046.0</v>
      </c>
      <c r="B567" s="166" t="s">
        <v>122</v>
      </c>
      <c r="C567" s="167" t="s">
        <v>125</v>
      </c>
      <c r="D567" s="168" t="s">
        <v>332</v>
      </c>
      <c r="E567" s="168">
        <v>64.0</v>
      </c>
      <c r="F567" s="169">
        <v>10.63</v>
      </c>
      <c r="G567" s="170">
        <v>-680.11</v>
      </c>
      <c r="H567" s="167" t="s">
        <v>1007</v>
      </c>
      <c r="I567" s="171" t="str">
        <f t="shared" ref="I567:J567" si="572">IFS(AND($B567&lt;&gt;"",$E567&lt;&gt;""),IF(INDEX(N:N,MATCH($C567,$P:$P,0),1)&lt;&gt;"",$E567*INDEX(N:N,MATCH($C567,$P:$P,0),1)+$G567,""),AND($B567&lt;&gt;"",$D567="COST",$G567&lt;0),$G567,TRUE,)</f>
        <v/>
      </c>
      <c r="J567" s="171" t="str">
        <f t="shared" si="572"/>
        <v/>
      </c>
      <c r="K567" s="309" t="str">
        <f t="shared" si="3"/>
        <v>iShares Gold Trust</v>
      </c>
      <c r="L567" s="143">
        <f t="shared" si="4"/>
        <v>0</v>
      </c>
      <c r="M567" s="143">
        <f t="shared" si="5"/>
        <v>140.23</v>
      </c>
      <c r="N567" s="176" t="str">
        <f>IF($P567&lt;&gt;"",IF(MAXIFS(Investment!$M:$M,Investment!$H:$H,LEFT($P567,30)&amp;"*"),MAXIFS(Investment!$M:$M,Investment!$H:$H,LEFT($P567,30)&amp;"*"),),)</f>
        <v/>
      </c>
      <c r="O567" s="177" t="str">
        <f>IF($P567&lt;&gt;"",IF(MAXIFS(Investment!$AI:$AI,Investment!$H:$H,LEFT($P567,30)&amp;"*"),MAXIFS(Investment!$AI:$AI,Investment!$H:$H,LEFT($P567,30)&amp;"*"),),)</f>
        <v/>
      </c>
      <c r="P567" s="172"/>
      <c r="Q567" s="173"/>
      <c r="R567" s="171"/>
    </row>
    <row r="568">
      <c r="A568" s="165">
        <v>43046.0</v>
      </c>
      <c r="B568" s="166" t="s">
        <v>127</v>
      </c>
      <c r="C568" s="167" t="s">
        <v>132</v>
      </c>
      <c r="D568" s="168" t="s">
        <v>332</v>
      </c>
      <c r="E568" s="168">
        <v>28.0</v>
      </c>
      <c r="F568" s="169">
        <v>55.76</v>
      </c>
      <c r="G568" s="170">
        <v>-1561.34</v>
      </c>
      <c r="H568" s="167" t="s">
        <v>1008</v>
      </c>
      <c r="I568" s="171" t="str">
        <f t="shared" ref="I568:J568" si="573">IFS(AND($B568&lt;&gt;"",$E568&lt;&gt;""),IF(INDEX(N:N,MATCH($C568,$P:$P,0),1)&lt;&gt;"",$E568*INDEX(N:N,MATCH($C568,$P:$P,0),1)+$G568,""),AND($B568&lt;&gt;"",$D568="COST",$G568&lt;0),$G568,TRUE,)</f>
        <v/>
      </c>
      <c r="J568" s="171" t="str">
        <f t="shared" si="573"/>
        <v/>
      </c>
      <c r="K568" s="309" t="str">
        <f t="shared" si="3"/>
        <v>Vanguard Intermediate-Term Treasury ETF</v>
      </c>
      <c r="L568" s="143">
        <f t="shared" si="4"/>
        <v>0</v>
      </c>
      <c r="M568" s="143">
        <f t="shared" si="5"/>
        <v>-1799.24</v>
      </c>
      <c r="N568" s="176" t="str">
        <f>IF($P568&lt;&gt;"",IF(MAXIFS(Investment!$M:$M,Investment!$H:$H,LEFT($P568,30)&amp;"*"),MAXIFS(Investment!$M:$M,Investment!$H:$H,LEFT($P568,30)&amp;"*"),),)</f>
        <v/>
      </c>
      <c r="O568" s="177" t="str">
        <f>IF($P568&lt;&gt;"",IF(MAXIFS(Investment!$AI:$AI,Investment!$H:$H,LEFT($P568,30)&amp;"*"),MAXIFS(Investment!$AI:$AI,Investment!$H:$H,LEFT($P568,30)&amp;"*"),),)</f>
        <v/>
      </c>
      <c r="P568" s="172"/>
      <c r="Q568" s="173"/>
      <c r="R568" s="171"/>
    </row>
    <row r="569">
      <c r="A569" s="165">
        <v>43045.0</v>
      </c>
      <c r="B569" s="166" t="s">
        <v>127</v>
      </c>
      <c r="C569" s="167" t="s">
        <v>132</v>
      </c>
      <c r="D569" s="168" t="s">
        <v>307</v>
      </c>
      <c r="E569" s="168"/>
      <c r="F569" s="169"/>
      <c r="G569" s="170">
        <v>28.53</v>
      </c>
      <c r="H569" s="167" t="s">
        <v>1009</v>
      </c>
      <c r="I569" s="171" t="str">
        <f t="shared" ref="I569:J569" si="574">IFS(AND($B569&lt;&gt;"",$E569&lt;&gt;""),IF(INDEX(N:N,MATCH($C569,$P:$P,0),1)&lt;&gt;"",$E569*INDEX(N:N,MATCH($C569,$P:$P,0),1)+$G569,""),AND($B569&lt;&gt;"",$D569="COST",$G569&lt;0),$G569,TRUE,)</f>
        <v/>
      </c>
      <c r="J569" s="171" t="str">
        <f t="shared" si="574"/>
        <v/>
      </c>
      <c r="K569" s="309" t="str">
        <f t="shared" si="3"/>
        <v>Vanguard Intermediate-Term Treasury ETF</v>
      </c>
      <c r="L569" s="143">
        <f t="shared" si="4"/>
        <v>0</v>
      </c>
      <c r="M569" s="143">
        <f t="shared" si="5"/>
        <v>-1799.24</v>
      </c>
      <c r="N569" s="176" t="str">
        <f>IF($P569&lt;&gt;"",IF(MAXIFS(Investment!$M:$M,Investment!$H:$H,LEFT($P569,30)&amp;"*"),MAXIFS(Investment!$M:$M,Investment!$H:$H,LEFT($P569,30)&amp;"*"),),)</f>
        <v/>
      </c>
      <c r="O569" s="177" t="str">
        <f>IF($P569&lt;&gt;"",IF(MAXIFS(Investment!$AI:$AI,Investment!$H:$H,LEFT($P569,30)&amp;"*"),MAXIFS(Investment!$AI:$AI,Investment!$H:$H,LEFT($P569,30)&amp;"*"),),)</f>
        <v/>
      </c>
      <c r="P569" s="172"/>
      <c r="Q569" s="173"/>
      <c r="R569" s="171"/>
    </row>
    <row r="570">
      <c r="A570" s="165">
        <v>43039.0</v>
      </c>
      <c r="B570" s="166"/>
      <c r="C570" s="167"/>
      <c r="D570" s="168" t="s">
        <v>301</v>
      </c>
      <c r="E570" s="168"/>
      <c r="F570" s="169"/>
      <c r="G570" s="170">
        <v>-93.75</v>
      </c>
      <c r="H570" s="167" t="s">
        <v>1010</v>
      </c>
      <c r="I570" s="171" t="str">
        <f t="shared" ref="I570:J570" si="575">IFS(AND($B570&lt;&gt;"",$E570&lt;&gt;""),IF(INDEX(N:N,MATCH($C570,$P:$P,0),1)&lt;&gt;"",$E570*INDEX(N:N,MATCH($C570,$P:$P,0),1)+$G570,""),AND($B570&lt;&gt;"",$D570="COST",$G570&lt;0),$G570,TRUE,)</f>
        <v/>
      </c>
      <c r="J570" s="171" t="str">
        <f t="shared" si="575"/>
        <v/>
      </c>
      <c r="K570" s="309" t="str">
        <f t="shared" si="3"/>
        <v/>
      </c>
      <c r="L570" s="143" t="str">
        <f t="shared" si="4"/>
        <v/>
      </c>
      <c r="M570" s="143" t="str">
        <f t="shared" si="5"/>
        <v/>
      </c>
      <c r="N570" s="176" t="str">
        <f>IF($P570&lt;&gt;"",IF(MAXIFS(Investment!$M:$M,Investment!$H:$H,LEFT($P570,30)&amp;"*"),MAXIFS(Investment!$M:$M,Investment!$H:$H,LEFT($P570,30)&amp;"*"),),)</f>
        <v/>
      </c>
      <c r="O570" s="177" t="str">
        <f>IF($P570&lt;&gt;"",IF(MAXIFS(Investment!$AI:$AI,Investment!$H:$H,LEFT($P570,30)&amp;"*"),MAXIFS(Investment!$AI:$AI,Investment!$H:$H,LEFT($P570,30)&amp;"*"),),)</f>
        <v/>
      </c>
      <c r="P570" s="172"/>
      <c r="Q570" s="173"/>
      <c r="R570" s="171"/>
    </row>
    <row r="571">
      <c r="A571" s="165">
        <v>43014.0</v>
      </c>
      <c r="B571" s="166" t="s">
        <v>127</v>
      </c>
      <c r="C571" s="167" t="s">
        <v>132</v>
      </c>
      <c r="D571" s="168" t="s">
        <v>307</v>
      </c>
      <c r="E571" s="168"/>
      <c r="F571" s="169"/>
      <c r="G571" s="170">
        <v>-4.5</v>
      </c>
      <c r="H571" s="167" t="s">
        <v>1011</v>
      </c>
      <c r="I571" s="171" t="str">
        <f t="shared" ref="I571:J571" si="576">IFS(AND($B571&lt;&gt;"",$E571&lt;&gt;""),IF(INDEX(N:N,MATCH($C571,$P:$P,0),1)&lt;&gt;"",$E571*INDEX(N:N,MATCH($C571,$P:$P,0),1)+$G571,""),AND($B571&lt;&gt;"",$D571="COST",$G571&lt;0),$G571,TRUE,)</f>
        <v/>
      </c>
      <c r="J571" s="171" t="str">
        <f t="shared" si="576"/>
        <v/>
      </c>
      <c r="K571" s="309" t="str">
        <f t="shared" si="3"/>
        <v>Vanguard Intermediate-Term Treasury ETF</v>
      </c>
      <c r="L571" s="143">
        <f t="shared" si="4"/>
        <v>0</v>
      </c>
      <c r="M571" s="143">
        <f t="shared" si="5"/>
        <v>-1799.24</v>
      </c>
      <c r="N571" s="176" t="str">
        <f>IF($P571&lt;&gt;"",IF(MAXIFS(Investment!$M:$M,Investment!$H:$H,LEFT($P571,30)&amp;"*"),MAXIFS(Investment!$M:$M,Investment!$H:$H,LEFT($P571,30)&amp;"*"),),)</f>
        <v/>
      </c>
      <c r="O571" s="177" t="str">
        <f>IF($P571&lt;&gt;"",IF(MAXIFS(Investment!$AI:$AI,Investment!$H:$H,LEFT($P571,30)&amp;"*"),MAXIFS(Investment!$AI:$AI,Investment!$H:$H,LEFT($P571,30)&amp;"*"),),)</f>
        <v/>
      </c>
      <c r="P571" s="172"/>
      <c r="Q571" s="173"/>
      <c r="R571" s="171"/>
    </row>
    <row r="572">
      <c r="A572" s="165">
        <v>43013.0</v>
      </c>
      <c r="B572" s="166" t="s">
        <v>138</v>
      </c>
      <c r="C572" s="167" t="s">
        <v>139</v>
      </c>
      <c r="D572" s="168" t="s">
        <v>307</v>
      </c>
      <c r="E572" s="168"/>
      <c r="F572" s="169"/>
      <c r="G572" s="170">
        <v>-26.14</v>
      </c>
      <c r="H572" s="167" t="s">
        <v>1012</v>
      </c>
      <c r="I572" s="171" t="str">
        <f t="shared" ref="I572:J572" si="577">IFS(AND($B572&lt;&gt;"",$E572&lt;&gt;""),IF(INDEX(N:N,MATCH($C572,$P:$P,0),1)&lt;&gt;"",$E572*INDEX(N:N,MATCH($C572,$P:$P,0),1)+$G572,""),AND($B572&lt;&gt;"",$D572="COST",$G572&lt;0),$G572,TRUE,)</f>
        <v/>
      </c>
      <c r="J572" s="171" t="str">
        <f t="shared" si="577"/>
        <v/>
      </c>
      <c r="K572" s="309" t="str">
        <f t="shared" si="3"/>
        <v>Vanguard S&amp;P 500 UCITS</v>
      </c>
      <c r="L572" s="311">
        <f t="shared" si="4"/>
        <v>3715</v>
      </c>
      <c r="M572" s="311">
        <f t="shared" si="5"/>
        <v>-151722.66</v>
      </c>
      <c r="N572" s="176" t="str">
        <f>IF($P572&lt;&gt;"",IF(MAXIFS(Investment!$M:$M,Investment!$H:$H,LEFT($P572,30)&amp;"*"),MAXIFS(Investment!$M:$M,Investment!$H:$H,LEFT($P572,30)&amp;"*"),),)</f>
        <v/>
      </c>
      <c r="O572" s="177" t="str">
        <f>IF($P572&lt;&gt;"",IF(MAXIFS(Investment!$AI:$AI,Investment!$H:$H,LEFT($P572,30)&amp;"*"),MAXIFS(Investment!$AI:$AI,Investment!$H:$H,LEFT($P572,30)&amp;"*"),),)</f>
        <v/>
      </c>
      <c r="P572" s="310"/>
      <c r="Q572" s="143"/>
      <c r="R572" s="259"/>
    </row>
    <row r="573">
      <c r="A573" s="165">
        <v>43013.0</v>
      </c>
      <c r="B573" s="166" t="s">
        <v>127</v>
      </c>
      <c r="C573" s="167" t="s">
        <v>132</v>
      </c>
      <c r="D573" s="168" t="s">
        <v>307</v>
      </c>
      <c r="E573" s="168"/>
      <c r="F573" s="169"/>
      <c r="G573" s="170">
        <v>30.34</v>
      </c>
      <c r="H573" s="167" t="s">
        <v>1013</v>
      </c>
      <c r="I573" s="171" t="str">
        <f t="shared" ref="I573:J573" si="578">IFS(AND($B573&lt;&gt;"",$E573&lt;&gt;""),IF(INDEX(N:N,MATCH($C573,$P:$P,0),1)&lt;&gt;"",$E573*INDEX(N:N,MATCH($C573,$P:$P,0),1)+$G573,""),AND($B573&lt;&gt;"",$D573="COST",$G573&lt;0),$G573,TRUE,)</f>
        <v/>
      </c>
      <c r="J573" s="171" t="str">
        <f t="shared" si="578"/>
        <v/>
      </c>
      <c r="K573" s="309" t="str">
        <f t="shared" si="3"/>
        <v>Vanguard Intermediate-Term Treasury ETF</v>
      </c>
      <c r="L573" s="311">
        <f t="shared" si="4"/>
        <v>0</v>
      </c>
      <c r="M573" s="311">
        <f t="shared" si="5"/>
        <v>-1799.24</v>
      </c>
      <c r="N573" s="176" t="str">
        <f>IF($P573&lt;&gt;"",IF(MAXIFS(Investment!$M:$M,Investment!$H:$H,LEFT($P573,30)&amp;"*"),MAXIFS(Investment!$M:$M,Investment!$H:$H,LEFT($P573,30)&amp;"*"),),)</f>
        <v/>
      </c>
      <c r="O573" s="177" t="str">
        <f>IF($P573&lt;&gt;"",IF(MAXIFS(Investment!$AI:$AI,Investment!$H:$H,LEFT($P573,30)&amp;"*"),MAXIFS(Investment!$AI:$AI,Investment!$H:$H,LEFT($P573,30)&amp;"*"),),)</f>
        <v/>
      </c>
      <c r="P573" s="310"/>
      <c r="Q573" s="143"/>
      <c r="R573" s="259"/>
    </row>
    <row r="574">
      <c r="A574" s="165">
        <v>43012.0</v>
      </c>
      <c r="B574" s="166" t="s">
        <v>138</v>
      </c>
      <c r="C574" s="167" t="s">
        <v>139</v>
      </c>
      <c r="D574" s="168" t="s">
        <v>307</v>
      </c>
      <c r="E574" s="168"/>
      <c r="F574" s="169"/>
      <c r="G574" s="170">
        <v>178.2</v>
      </c>
      <c r="H574" s="167" t="s">
        <v>1014</v>
      </c>
      <c r="I574" s="171" t="str">
        <f t="shared" ref="I574:J574" si="579">IFS(AND($B574&lt;&gt;"",$E574&lt;&gt;""),IF(INDEX(N:N,MATCH($C574,$P:$P,0),1)&lt;&gt;"",$E574*INDEX(N:N,MATCH($C574,$P:$P,0),1)+$G574,""),AND($B574&lt;&gt;"",$D574="COST",$G574&lt;0),$G574,TRUE,)</f>
        <v/>
      </c>
      <c r="J574" s="171" t="str">
        <f t="shared" si="579"/>
        <v/>
      </c>
      <c r="K574" s="309" t="str">
        <f t="shared" si="3"/>
        <v>Vanguard S&amp;P 500 UCITS</v>
      </c>
      <c r="L574" s="311">
        <f t="shared" si="4"/>
        <v>3715</v>
      </c>
      <c r="M574" s="311">
        <f t="shared" si="5"/>
        <v>-151722.66</v>
      </c>
      <c r="N574" s="176" t="str">
        <f>IF($P574&lt;&gt;"",IF(MAXIFS(Investment!$M:$M,Investment!$H:$H,LEFT($P574,30)&amp;"*"),MAXIFS(Investment!$M:$M,Investment!$H:$H,LEFT($P574,30)&amp;"*"),),)</f>
        <v/>
      </c>
      <c r="O574" s="177" t="str">
        <f>IF($P574&lt;&gt;"",IF(MAXIFS(Investment!$AI:$AI,Investment!$H:$H,LEFT($P574,30)&amp;"*"),MAXIFS(Investment!$AI:$AI,Investment!$H:$H,LEFT($P574,30)&amp;"*"),),)</f>
        <v/>
      </c>
      <c r="P574" s="310"/>
      <c r="Q574" s="143"/>
      <c r="R574" s="259"/>
    </row>
    <row r="575">
      <c r="A575" s="165">
        <v>43012.0</v>
      </c>
      <c r="B575" s="166" t="s">
        <v>127</v>
      </c>
      <c r="C575" s="167" t="s">
        <v>132</v>
      </c>
      <c r="D575" s="168" t="s">
        <v>301</v>
      </c>
      <c r="E575" s="168"/>
      <c r="F575" s="169"/>
      <c r="G575" s="170">
        <v>-2.18</v>
      </c>
      <c r="H575" s="167" t="s">
        <v>1015</v>
      </c>
      <c r="I575" s="171">
        <f t="shared" ref="I575:J575" si="580">IFS(AND($B575&lt;&gt;"",$E575&lt;&gt;""),IF(INDEX(N:N,MATCH($C575,$P:$P,0),1)&lt;&gt;"",$E575*INDEX(N:N,MATCH($C575,$P:$P,0),1)+$G575,""),AND($B575&lt;&gt;"",$D575="COST",$G575&lt;0),$G575,TRUE,)</f>
        <v>-2.18</v>
      </c>
      <c r="J575" s="171">
        <f t="shared" si="580"/>
        <v>-2.18</v>
      </c>
      <c r="K575" s="309" t="str">
        <f t="shared" si="3"/>
        <v>Vanguard Intermediate-Term Treasury ETF</v>
      </c>
      <c r="L575" s="311">
        <f t="shared" si="4"/>
        <v>0</v>
      </c>
      <c r="M575" s="311">
        <f t="shared" si="5"/>
        <v>-1799.24</v>
      </c>
      <c r="N575" s="176" t="str">
        <f>IF($P575&lt;&gt;"",IF(MAXIFS(Investment!$M:$M,Investment!$H:$H,LEFT($P575,30)&amp;"*"),MAXIFS(Investment!$M:$M,Investment!$H:$H,LEFT($P575,30)&amp;"*"),),)</f>
        <v/>
      </c>
      <c r="O575" s="177" t="str">
        <f>IF($P575&lt;&gt;"",IF(MAXIFS(Investment!$AI:$AI,Investment!$H:$H,LEFT($P575,30)&amp;"*"),MAXIFS(Investment!$AI:$AI,Investment!$H:$H,LEFT($P575,30)&amp;"*"),),)</f>
        <v/>
      </c>
      <c r="P575" s="310"/>
      <c r="Q575" s="143"/>
      <c r="R575" s="259"/>
    </row>
    <row r="576">
      <c r="A576" s="165">
        <v>43012.0</v>
      </c>
      <c r="B576" s="166" t="s">
        <v>138</v>
      </c>
      <c r="C576" s="167" t="s">
        <v>139</v>
      </c>
      <c r="D576" s="168" t="s">
        <v>332</v>
      </c>
      <c r="E576" s="168">
        <v>25.0</v>
      </c>
      <c r="F576" s="169">
        <v>40.857</v>
      </c>
      <c r="G576" s="170">
        <v>-1021.42</v>
      </c>
      <c r="H576" s="167" t="s">
        <v>1016</v>
      </c>
      <c r="I576" s="171">
        <f t="shared" ref="I576:J576" si="581">IFS(AND($B576&lt;&gt;"",$E576&lt;&gt;""),IF(INDEX(N:N,MATCH($C576,$P:$P,0),1)&lt;&gt;"",$E576*INDEX(N:N,MATCH($C576,$P:$P,0),1)+$G576,""),AND($B576&lt;&gt;"",$D576="COST",$G576&lt;0),$G576,TRUE,)</f>
        <v>310.705</v>
      </c>
      <c r="J576" s="171">
        <f t="shared" si="581"/>
        <v>182.0246078</v>
      </c>
      <c r="K576" s="309" t="str">
        <f t="shared" si="3"/>
        <v>Vanguard S&amp;P 500 UCITS</v>
      </c>
      <c r="L576" s="311">
        <f t="shared" si="4"/>
        <v>3715</v>
      </c>
      <c r="M576" s="311">
        <f t="shared" si="5"/>
        <v>-151722.66</v>
      </c>
      <c r="N576" s="176" t="str">
        <f>IF($P576&lt;&gt;"",IF(MAXIFS(Investment!$M:$M,Investment!$H:$H,LEFT($P576,30)&amp;"*"),MAXIFS(Investment!$M:$M,Investment!$H:$H,LEFT($P576,30)&amp;"*"),),)</f>
        <v/>
      </c>
      <c r="O576" s="177" t="str">
        <f>IF($P576&lt;&gt;"",IF(MAXIFS(Investment!$AI:$AI,Investment!$H:$H,LEFT($P576,30)&amp;"*"),MAXIFS(Investment!$AI:$AI,Investment!$H:$H,LEFT($P576,30)&amp;"*"),),)</f>
        <v/>
      </c>
      <c r="P576" s="310"/>
      <c r="Q576" s="143"/>
      <c r="R576" s="259"/>
    </row>
    <row r="577">
      <c r="A577" s="165">
        <v>43012.0</v>
      </c>
      <c r="B577" s="166" t="s">
        <v>118</v>
      </c>
      <c r="C577" s="167" t="s">
        <v>120</v>
      </c>
      <c r="D577" s="168" t="s">
        <v>332</v>
      </c>
      <c r="E577" s="168">
        <v>174.0</v>
      </c>
      <c r="F577" s="169">
        <v>7.205</v>
      </c>
      <c r="G577" s="170">
        <v>-1253.67</v>
      </c>
      <c r="H577" s="167" t="s">
        <v>1017</v>
      </c>
      <c r="I577" s="171">
        <f t="shared" ref="I577:J577" si="582">IFS(AND($B577&lt;&gt;"",$E577&lt;&gt;""),IF(INDEX(N:N,MATCH($C577,$P:$P,0),1)&lt;&gt;"",$E577*INDEX(N:N,MATCH($C577,$P:$P,0),1)+$G577,""),AND($B577&lt;&gt;"",$D577="COST",$G577&lt;0),$G577,TRUE,)</f>
        <v>30.45</v>
      </c>
      <c r="J577" s="171">
        <f t="shared" si="582"/>
        <v>7.308682353</v>
      </c>
      <c r="K577" s="309" t="str">
        <f t="shared" si="3"/>
        <v>ETFS All Commodities ETC</v>
      </c>
      <c r="L577" s="311">
        <f t="shared" si="4"/>
        <v>11745</v>
      </c>
      <c r="M577" s="311">
        <f t="shared" si="5"/>
        <v>-84366.02</v>
      </c>
      <c r="N577" s="176" t="str">
        <f>IF($P577&lt;&gt;"",IF(MAXIFS(Investment!$M:$M,Investment!$H:$H,LEFT($P577,30)&amp;"*"),MAXIFS(Investment!$M:$M,Investment!$H:$H,LEFT($P577,30)&amp;"*"),),)</f>
        <v/>
      </c>
      <c r="O577" s="177" t="str">
        <f>IF($P577&lt;&gt;"",IF(MAXIFS(Investment!$AI:$AI,Investment!$H:$H,LEFT($P577,30)&amp;"*"),MAXIFS(Investment!$AI:$AI,Investment!$H:$H,LEFT($P577,30)&amp;"*"),),)</f>
        <v/>
      </c>
      <c r="P577" s="310"/>
      <c r="Q577" s="143"/>
      <c r="R577" s="259"/>
    </row>
    <row r="578">
      <c r="A578" s="165">
        <v>43012.0</v>
      </c>
      <c r="B578" s="166" t="s">
        <v>134</v>
      </c>
      <c r="C578" s="167" t="s">
        <v>137</v>
      </c>
      <c r="D578" s="168" t="s">
        <v>332</v>
      </c>
      <c r="E578" s="168">
        <v>37.0</v>
      </c>
      <c r="F578" s="169">
        <v>99.51</v>
      </c>
      <c r="G578" s="170">
        <v>-3682.04</v>
      </c>
      <c r="H578" s="167" t="s">
        <v>1018</v>
      </c>
      <c r="I578" s="171" t="str">
        <f t="shared" ref="I578:J578" si="583">IFS(AND($B578&lt;&gt;"",$E578&lt;&gt;""),IF(INDEX(N:N,MATCH($C578,$P:$P,0),1)&lt;&gt;"",$E578*INDEX(N:N,MATCH($C578,$P:$P,0),1)+$G578,""),AND($B578&lt;&gt;"",$D578="COST",$G578&lt;0),$G578,TRUE,)</f>
        <v/>
      </c>
      <c r="J578" s="171" t="str">
        <f t="shared" si="583"/>
        <v/>
      </c>
      <c r="K578" s="309" t="str">
        <f t="shared" si="3"/>
        <v>Vanguard Extended Duration Treasury ETF</v>
      </c>
      <c r="L578" s="311">
        <f t="shared" si="4"/>
        <v>0</v>
      </c>
      <c r="M578" s="311">
        <f t="shared" si="5"/>
        <v>-4857.35</v>
      </c>
      <c r="N578" s="176" t="str">
        <f>IF($P578&lt;&gt;"",IF(MAXIFS(Investment!$M:$M,Investment!$H:$H,LEFT($P578,30)&amp;"*"),MAXIFS(Investment!$M:$M,Investment!$H:$H,LEFT($P578,30)&amp;"*"),),)</f>
        <v/>
      </c>
      <c r="O578" s="177" t="str">
        <f>IF($P578&lt;&gt;"",IF(MAXIFS(Investment!$AI:$AI,Investment!$H:$H,LEFT($P578,30)&amp;"*"),MAXIFS(Investment!$AI:$AI,Investment!$H:$H,LEFT($P578,30)&amp;"*"),),)</f>
        <v/>
      </c>
      <c r="P578" s="310"/>
      <c r="Q578" s="143"/>
      <c r="R578" s="259"/>
    </row>
    <row r="579">
      <c r="A579" s="165">
        <v>43012.0</v>
      </c>
      <c r="B579" s="166" t="s">
        <v>122</v>
      </c>
      <c r="C579" s="167" t="s">
        <v>125</v>
      </c>
      <c r="D579" s="168" t="s">
        <v>332</v>
      </c>
      <c r="E579" s="168">
        <v>147.0</v>
      </c>
      <c r="F579" s="169">
        <v>10.44</v>
      </c>
      <c r="G579" s="170">
        <v>-1534.32</v>
      </c>
      <c r="H579" s="167" t="s">
        <v>1019</v>
      </c>
      <c r="I579" s="171" t="str">
        <f t="shared" ref="I579:J579" si="584">IFS(AND($B579&lt;&gt;"",$E579&lt;&gt;""),IF(INDEX(N:N,MATCH($C579,$P:$P,0),1)&lt;&gt;"",$E579*INDEX(N:N,MATCH($C579,$P:$P,0),1)+$G579,""),AND($B579&lt;&gt;"",$D579="COST",$G579&lt;0),$G579,TRUE,)</f>
        <v/>
      </c>
      <c r="J579" s="171" t="str">
        <f t="shared" si="584"/>
        <v/>
      </c>
      <c r="K579" s="309" t="str">
        <f t="shared" si="3"/>
        <v>iShares Gold Trust</v>
      </c>
      <c r="L579" s="311">
        <f t="shared" si="4"/>
        <v>0</v>
      </c>
      <c r="M579" s="311">
        <f t="shared" si="5"/>
        <v>140.23</v>
      </c>
      <c r="N579" s="176" t="str">
        <f>IF($P579&lt;&gt;"",IF(MAXIFS(Investment!$M:$M,Investment!$H:$H,LEFT($P579,30)&amp;"*"),MAXIFS(Investment!$M:$M,Investment!$H:$H,LEFT($P579,30)&amp;"*"),),)</f>
        <v/>
      </c>
      <c r="O579" s="177" t="str">
        <f>IF($P579&lt;&gt;"",IF(MAXIFS(Investment!$AI:$AI,Investment!$H:$H,LEFT($P579,30)&amp;"*"),MAXIFS(Investment!$AI:$AI,Investment!$H:$H,LEFT($P579,30)&amp;"*"),),)</f>
        <v/>
      </c>
      <c r="P579" s="310"/>
      <c r="Q579" s="143"/>
      <c r="R579" s="259"/>
    </row>
    <row r="580">
      <c r="A580" s="165">
        <v>43012.0</v>
      </c>
      <c r="B580" s="166" t="s">
        <v>127</v>
      </c>
      <c r="C580" s="167" t="s">
        <v>132</v>
      </c>
      <c r="D580" s="168" t="s">
        <v>332</v>
      </c>
      <c r="E580" s="168">
        <v>16.0</v>
      </c>
      <c r="F580" s="169">
        <v>55.01</v>
      </c>
      <c r="G580" s="170">
        <v>-880.09</v>
      </c>
      <c r="H580" s="167" t="s">
        <v>1020</v>
      </c>
      <c r="I580" s="171" t="str">
        <f t="shared" ref="I580:J580" si="585">IFS(AND($B580&lt;&gt;"",$E580&lt;&gt;""),IF(INDEX(N:N,MATCH($C580,$P:$P,0),1)&lt;&gt;"",$E580*INDEX(N:N,MATCH($C580,$P:$P,0),1)+$G580,""),AND($B580&lt;&gt;"",$D580="COST",$G580&lt;0),$G580,TRUE,)</f>
        <v/>
      </c>
      <c r="J580" s="171" t="str">
        <f t="shared" si="585"/>
        <v/>
      </c>
      <c r="K580" s="309" t="str">
        <f t="shared" si="3"/>
        <v>Vanguard Intermediate-Term Treasury ETF</v>
      </c>
      <c r="L580" s="311">
        <f t="shared" si="4"/>
        <v>0</v>
      </c>
      <c r="M580" s="311">
        <f t="shared" si="5"/>
        <v>-1799.24</v>
      </c>
      <c r="N580" s="176" t="str">
        <f>IF($P580&lt;&gt;"",IF(MAXIFS(Investment!$M:$M,Investment!$H:$H,LEFT($P580,30)&amp;"*"),MAXIFS(Investment!$M:$M,Investment!$H:$H,LEFT($P580,30)&amp;"*"),),)</f>
        <v/>
      </c>
      <c r="O580" s="177" t="str">
        <f>IF($P580&lt;&gt;"",IF(MAXIFS(Investment!$AI:$AI,Investment!$H:$H,LEFT($P580,30)&amp;"*"),MAXIFS(Investment!$AI:$AI,Investment!$H:$H,LEFT($P580,30)&amp;"*"),),)</f>
        <v/>
      </c>
      <c r="P580" s="310"/>
      <c r="Q580" s="143"/>
      <c r="R580" s="259"/>
    </row>
    <row r="581">
      <c r="A581" s="165">
        <v>43011.0</v>
      </c>
      <c r="B581" s="166" t="s">
        <v>134</v>
      </c>
      <c r="C581" s="167" t="s">
        <v>137</v>
      </c>
      <c r="D581" s="168" t="s">
        <v>307</v>
      </c>
      <c r="E581" s="168"/>
      <c r="F581" s="169"/>
      <c r="G581" s="170">
        <v>-54.04</v>
      </c>
      <c r="H581" s="167" t="s">
        <v>1021</v>
      </c>
      <c r="I581" s="171" t="str">
        <f t="shared" ref="I581:J581" si="586">IFS(AND($B581&lt;&gt;"",$E581&lt;&gt;""),IF(INDEX(N:N,MATCH($C581,$P:$P,0),1)&lt;&gt;"",$E581*INDEX(N:N,MATCH($C581,$P:$P,0),1)+$G581,""),AND($B581&lt;&gt;"",$D581="COST",$G581&lt;0),$G581,TRUE,)</f>
        <v/>
      </c>
      <c r="J581" s="171" t="str">
        <f t="shared" si="586"/>
        <v/>
      </c>
      <c r="K581" s="309" t="str">
        <f t="shared" si="3"/>
        <v>Vanguard Extended Duration Treasury ETF</v>
      </c>
      <c r="L581" s="311">
        <f t="shared" si="4"/>
        <v>0</v>
      </c>
      <c r="M581" s="311">
        <f t="shared" si="5"/>
        <v>-4857.35</v>
      </c>
      <c r="N581" s="176" t="str">
        <f>IF($P581&lt;&gt;"",IF(MAXIFS(Investment!$M:$M,Investment!$H:$H,LEFT($P581,30)&amp;"*"),MAXIFS(Investment!$M:$M,Investment!$H:$H,LEFT($P581,30)&amp;"*"),),)</f>
        <v/>
      </c>
      <c r="O581" s="177" t="str">
        <f>IF($P581&lt;&gt;"",IF(MAXIFS(Investment!$AI:$AI,Investment!$H:$H,LEFT($P581,30)&amp;"*"),MAXIFS(Investment!$AI:$AI,Investment!$H:$H,LEFT($P581,30)&amp;"*"),),)</f>
        <v/>
      </c>
      <c r="P581" s="310"/>
      <c r="Q581" s="143"/>
      <c r="R581" s="259"/>
    </row>
    <row r="582">
      <c r="A582" s="165">
        <v>43010.0</v>
      </c>
      <c r="B582" s="166" t="s">
        <v>134</v>
      </c>
      <c r="C582" s="167" t="s">
        <v>137</v>
      </c>
      <c r="D582" s="168" t="s">
        <v>307</v>
      </c>
      <c r="E582" s="168"/>
      <c r="F582" s="169"/>
      <c r="G582" s="170">
        <v>359.13</v>
      </c>
      <c r="H582" s="167" t="s">
        <v>1022</v>
      </c>
      <c r="I582" s="171" t="str">
        <f t="shared" ref="I582:J582" si="587">IFS(AND($B582&lt;&gt;"",$E582&lt;&gt;""),IF(INDEX(N:N,MATCH($C582,$P:$P,0),1)&lt;&gt;"",$E582*INDEX(N:N,MATCH($C582,$P:$P,0),1)+$G582,""),AND($B582&lt;&gt;"",$D582="COST",$G582&lt;0),$G582,TRUE,)</f>
        <v/>
      </c>
      <c r="J582" s="171" t="str">
        <f t="shared" si="587"/>
        <v/>
      </c>
      <c r="K582" s="309" t="str">
        <f t="shared" si="3"/>
        <v>Vanguard Extended Duration Treasury ETF</v>
      </c>
      <c r="L582" s="311">
        <f t="shared" si="4"/>
        <v>0</v>
      </c>
      <c r="M582" s="311">
        <f t="shared" si="5"/>
        <v>-4857.35</v>
      </c>
      <c r="N582" s="176" t="str">
        <f>IF($P582&lt;&gt;"",IF(MAXIFS(Investment!$M:$M,Investment!$H:$H,LEFT($P582,30)&amp;"*"),MAXIFS(Investment!$M:$M,Investment!$H:$H,LEFT($P582,30)&amp;"*"),),)</f>
        <v/>
      </c>
      <c r="O582" s="177" t="str">
        <f>IF($P582&lt;&gt;"",IF(MAXIFS(Investment!$AI:$AI,Investment!$H:$H,LEFT($P582,30)&amp;"*"),MAXIFS(Investment!$AI:$AI,Investment!$H:$H,LEFT($P582,30)&amp;"*"),),)</f>
        <v/>
      </c>
      <c r="P582" s="310"/>
      <c r="Q582" s="143"/>
      <c r="R582" s="259"/>
    </row>
    <row r="583">
      <c r="A583" s="165">
        <v>43009.0</v>
      </c>
      <c r="B583" s="143"/>
      <c r="C583" s="312"/>
      <c r="D583" s="307" t="s">
        <v>299</v>
      </c>
      <c r="E583" s="307"/>
      <c r="F583" s="169"/>
      <c r="G583" s="170">
        <v>-2000.0</v>
      </c>
      <c r="H583" s="312" t="s">
        <v>1023</v>
      </c>
      <c r="I583" s="171" t="str">
        <f t="shared" ref="I583:J583" si="588">IFS(AND($B583&lt;&gt;"",$E583&lt;&gt;""),IF(INDEX(N:N,MATCH($C583,$P:$P,0),1)&lt;&gt;"",$E583*INDEX(N:N,MATCH($C583,$P:$P,0),1)+$G583,""),AND($B583&lt;&gt;"",$D583="COST",$G583&lt;0),$G583,TRUE,)</f>
        <v/>
      </c>
      <c r="J583" s="171" t="str">
        <f t="shared" si="588"/>
        <v/>
      </c>
      <c r="K583" s="309" t="str">
        <f t="shared" si="3"/>
        <v/>
      </c>
      <c r="L583" s="311" t="str">
        <f t="shared" si="4"/>
        <v/>
      </c>
      <c r="M583" s="311" t="str">
        <f t="shared" si="5"/>
        <v/>
      </c>
      <c r="N583" s="176" t="str">
        <f>IF($P583&lt;&gt;"",IF(MAXIFS(Investment!$M:$M,Investment!$H:$H,LEFT($P583,30)&amp;"*"),MAXIFS(Investment!$M:$M,Investment!$H:$H,LEFT($P583,30)&amp;"*"),),)</f>
        <v/>
      </c>
      <c r="O583" s="177" t="str">
        <f>IF($P583&lt;&gt;"",IF(MAXIFS(Investment!$AI:$AI,Investment!$H:$H,LEFT($P583,30)&amp;"*"),MAXIFS(Investment!$AI:$AI,Investment!$H:$H,LEFT($P583,30)&amp;"*"),),)</f>
        <v/>
      </c>
      <c r="P583" s="310"/>
      <c r="Q583" s="143"/>
      <c r="R583" s="259"/>
    </row>
    <row r="584">
      <c r="A584" s="165">
        <v>43008.0</v>
      </c>
      <c r="B584" s="166"/>
      <c r="C584" s="167"/>
      <c r="D584" s="168" t="s">
        <v>301</v>
      </c>
      <c r="E584" s="168"/>
      <c r="F584" s="169"/>
      <c r="G584" s="170">
        <v>-86.11</v>
      </c>
      <c r="H584" s="167" t="s">
        <v>1024</v>
      </c>
      <c r="I584" s="171" t="str">
        <f t="shared" ref="I584:J584" si="589">IFS(AND($B584&lt;&gt;"",$E584&lt;&gt;""),IF(INDEX(N:N,MATCH($C584,$P:$P,0),1)&lt;&gt;"",$E584*INDEX(N:N,MATCH($C584,$P:$P,0),1)+$G584,""),AND($B584&lt;&gt;"",$D584="COST",$G584&lt;0),$G584,TRUE,)</f>
        <v/>
      </c>
      <c r="J584" s="171" t="str">
        <f t="shared" si="589"/>
        <v/>
      </c>
      <c r="K584" s="309" t="str">
        <f t="shared" si="3"/>
        <v/>
      </c>
      <c r="L584" s="311" t="str">
        <f t="shared" si="4"/>
        <v/>
      </c>
      <c r="M584" s="311" t="str">
        <f t="shared" si="5"/>
        <v/>
      </c>
      <c r="N584" s="176" t="str">
        <f>IF($P584&lt;&gt;"",IF(MAXIFS(Investment!$M:$M,Investment!$H:$H,LEFT($P584,30)&amp;"*"),MAXIFS(Investment!$M:$M,Investment!$H:$H,LEFT($P584,30)&amp;"*"),),)</f>
        <v/>
      </c>
      <c r="O584" s="177" t="str">
        <f>IF($P584&lt;&gt;"",IF(MAXIFS(Investment!$AI:$AI,Investment!$H:$H,LEFT($P584,30)&amp;"*"),MAXIFS(Investment!$AI:$AI,Investment!$H:$H,LEFT($P584,30)&amp;"*"),),)</f>
        <v/>
      </c>
      <c r="P584" s="310"/>
      <c r="Q584" s="143"/>
      <c r="R584" s="259"/>
    </row>
    <row r="585">
      <c r="A585" s="165">
        <v>42996.0</v>
      </c>
      <c r="B585" s="166" t="s">
        <v>138</v>
      </c>
      <c r="C585" s="167" t="s">
        <v>139</v>
      </c>
      <c r="D585" s="168" t="s">
        <v>332</v>
      </c>
      <c r="E585" s="168">
        <v>72.0</v>
      </c>
      <c r="F585" s="169">
        <v>39.983</v>
      </c>
      <c r="G585" s="170">
        <v>-2878.78</v>
      </c>
      <c r="H585" s="167" t="s">
        <v>1025</v>
      </c>
      <c r="I585" s="171">
        <f t="shared" ref="I585:J585" si="590">IFS(AND($B585&lt;&gt;"",$E585&lt;&gt;""),IF(INDEX(N:N,MATCH($C585,$P:$P,0),1)&lt;&gt;"",$E585*INDEX(N:N,MATCH($C585,$P:$P,0),1)+$G585,""),AND($B585&lt;&gt;"",$D585="COST",$G585&lt;0),$G585,TRUE,)</f>
        <v>957.74</v>
      </c>
      <c r="J585" s="171">
        <f t="shared" si="590"/>
        <v>587.1404706</v>
      </c>
      <c r="K585" s="309" t="str">
        <f t="shared" si="3"/>
        <v>Vanguard S&amp;P 500 UCITS</v>
      </c>
      <c r="L585" s="311">
        <f t="shared" si="4"/>
        <v>3715</v>
      </c>
      <c r="M585" s="311">
        <f t="shared" si="5"/>
        <v>-151722.66</v>
      </c>
      <c r="N585" s="176" t="str">
        <f>IF($P585&lt;&gt;"",IF(MAXIFS(Investment!$M:$M,Investment!$H:$H,LEFT($P585,30)&amp;"*"),MAXIFS(Investment!$M:$M,Investment!$H:$H,LEFT($P585,30)&amp;"*"),),)</f>
        <v/>
      </c>
      <c r="O585" s="177" t="str">
        <f>IF($P585&lt;&gt;"",IF(MAXIFS(Investment!$AI:$AI,Investment!$H:$H,LEFT($P585,30)&amp;"*"),MAXIFS(Investment!$AI:$AI,Investment!$H:$H,LEFT($P585,30)&amp;"*"),),)</f>
        <v/>
      </c>
      <c r="P585" s="310"/>
      <c r="Q585" s="143"/>
      <c r="R585" s="259"/>
    </row>
    <row r="586">
      <c r="A586" s="165">
        <v>42993.0</v>
      </c>
      <c r="B586" s="55" t="s">
        <v>134</v>
      </c>
      <c r="C586" s="308" t="s">
        <v>137</v>
      </c>
      <c r="D586" s="50" t="s">
        <v>332</v>
      </c>
      <c r="E586" s="50">
        <v>40.0</v>
      </c>
      <c r="F586" s="169">
        <v>101.03</v>
      </c>
      <c r="G586" s="170">
        <v>-4041.23</v>
      </c>
      <c r="H586" s="308" t="s">
        <v>1026</v>
      </c>
      <c r="I586" s="171" t="str">
        <f t="shared" ref="I586:J586" si="591">IFS(AND($B586&lt;&gt;"",$E586&lt;&gt;""),IF(INDEX(N:N,MATCH($C586,$P:$P,0),1)&lt;&gt;"",$E586*INDEX(N:N,MATCH($C586,$P:$P,0),1)+$G586,""),AND($B586&lt;&gt;"",$D586="COST",$G586&lt;0),$G586,TRUE,)</f>
        <v/>
      </c>
      <c r="J586" s="171" t="str">
        <f t="shared" si="591"/>
        <v/>
      </c>
      <c r="K586" s="309" t="str">
        <f t="shared" si="3"/>
        <v>Vanguard Extended Duration Treasury ETF</v>
      </c>
      <c r="L586" s="311">
        <f t="shared" si="4"/>
        <v>0</v>
      </c>
      <c r="M586" s="311">
        <f t="shared" si="5"/>
        <v>-4857.35</v>
      </c>
      <c r="N586" s="176" t="str">
        <f>IF($P586&lt;&gt;"",IF(MAXIFS(Investment!$M:$M,Investment!$H:$H,LEFT($P586,30)&amp;"*"),MAXIFS(Investment!$M:$M,Investment!$H:$H,LEFT($P586,30)&amp;"*"),),)</f>
        <v/>
      </c>
      <c r="O586" s="177" t="str">
        <f>IF($P586&lt;&gt;"",IF(MAXIFS(Investment!$AI:$AI,Investment!$H:$H,LEFT($P586,30)&amp;"*"),MAXIFS(Investment!$AI:$AI,Investment!$H:$H,LEFT($P586,30)&amp;"*"),),)</f>
        <v/>
      </c>
      <c r="P586" s="310"/>
      <c r="Q586" s="143"/>
      <c r="R586" s="259"/>
    </row>
    <row r="587">
      <c r="A587" s="165">
        <v>42993.0</v>
      </c>
      <c r="B587" s="55" t="s">
        <v>127</v>
      </c>
      <c r="C587" s="308" t="s">
        <v>132</v>
      </c>
      <c r="D587" s="50" t="s">
        <v>301</v>
      </c>
      <c r="E587" s="50"/>
      <c r="F587" s="169"/>
      <c r="G587" s="170">
        <v>-2.32</v>
      </c>
      <c r="H587" s="308" t="s">
        <v>1027</v>
      </c>
      <c r="I587" s="171">
        <f t="shared" ref="I587:J587" si="592">IFS(AND($B587&lt;&gt;"",$E587&lt;&gt;""),IF(INDEX(N:N,MATCH($C587,$P:$P,0),1)&lt;&gt;"",$E587*INDEX(N:N,MATCH($C587,$P:$P,0),1)+$G587,""),AND($B587&lt;&gt;"",$D587="COST",$G587&lt;0),$G587,TRUE,)</f>
        <v>-2.32</v>
      </c>
      <c r="J587" s="171">
        <f t="shared" si="592"/>
        <v>-2.32</v>
      </c>
      <c r="K587" s="309" t="str">
        <f t="shared" si="3"/>
        <v>Vanguard Intermediate-Term Treasury ETF</v>
      </c>
      <c r="L587" s="311">
        <f t="shared" si="4"/>
        <v>0</v>
      </c>
      <c r="M587" s="311">
        <f t="shared" si="5"/>
        <v>-1799.24</v>
      </c>
      <c r="N587" s="176" t="str">
        <f>IF($P587&lt;&gt;"",IF(MAXIFS(Investment!$M:$M,Investment!$H:$H,LEFT($P587,30)&amp;"*"),MAXIFS(Investment!$M:$M,Investment!$H:$H,LEFT($P587,30)&amp;"*"),),)</f>
        <v/>
      </c>
      <c r="O587" s="177" t="str">
        <f>IF($P587&lt;&gt;"",IF(MAXIFS(Investment!$AI:$AI,Investment!$H:$H,LEFT($P587,30)&amp;"*"),MAXIFS(Investment!$AI:$AI,Investment!$H:$H,LEFT($P587,30)&amp;"*"),),)</f>
        <v/>
      </c>
      <c r="P587" s="310"/>
      <c r="Q587" s="143"/>
      <c r="R587" s="259"/>
    </row>
    <row r="588">
      <c r="A588" s="165">
        <v>42993.0</v>
      </c>
      <c r="B588" s="55" t="s">
        <v>127</v>
      </c>
      <c r="C588" s="308" t="s">
        <v>132</v>
      </c>
      <c r="D588" s="50" t="s">
        <v>332</v>
      </c>
      <c r="E588" s="50">
        <v>29.0</v>
      </c>
      <c r="F588" s="169">
        <v>54.53</v>
      </c>
      <c r="G588" s="170">
        <v>-1581.45</v>
      </c>
      <c r="H588" s="308" t="s">
        <v>1028</v>
      </c>
      <c r="I588" s="171" t="str">
        <f t="shared" ref="I588:J588" si="593">IFS(AND($B588&lt;&gt;"",$E588&lt;&gt;""),IF(INDEX(N:N,MATCH($C588,$P:$P,0),1)&lt;&gt;"",$E588*INDEX(N:N,MATCH($C588,$P:$P,0),1)+$G588,""),AND($B588&lt;&gt;"",$D588="COST",$G588&lt;0),$G588,TRUE,)</f>
        <v/>
      </c>
      <c r="J588" s="171" t="str">
        <f t="shared" si="593"/>
        <v/>
      </c>
      <c r="K588" s="309" t="str">
        <f t="shared" si="3"/>
        <v>Vanguard Intermediate-Term Treasury ETF</v>
      </c>
      <c r="L588" s="311">
        <f t="shared" si="4"/>
        <v>0</v>
      </c>
      <c r="M588" s="311">
        <f t="shared" si="5"/>
        <v>-1799.24</v>
      </c>
      <c r="N588" s="176" t="str">
        <f>IF($P588&lt;&gt;"",IF(MAXIFS(Investment!$M:$M,Investment!$H:$H,LEFT($P588,30)&amp;"*"),MAXIFS(Investment!$M:$M,Investment!$H:$H,LEFT($P588,30)&amp;"*"),),)</f>
        <v/>
      </c>
      <c r="O588" s="177" t="str">
        <f>IF($P588&lt;&gt;"",IF(MAXIFS(Investment!$AI:$AI,Investment!$H:$H,LEFT($P588,30)&amp;"*"),MAXIFS(Investment!$AI:$AI,Investment!$H:$H,LEFT($P588,30)&amp;"*"),),)</f>
        <v/>
      </c>
      <c r="P588" s="310"/>
      <c r="Q588" s="143"/>
      <c r="R588" s="259"/>
    </row>
    <row r="589">
      <c r="A589" s="165">
        <v>42993.0</v>
      </c>
      <c r="C589" s="48"/>
      <c r="D589" s="50" t="s">
        <v>299</v>
      </c>
      <c r="E589" s="50"/>
      <c r="F589" s="169"/>
      <c r="G589" s="170">
        <v>8500.0</v>
      </c>
      <c r="H589" s="308" t="s">
        <v>1029</v>
      </c>
      <c r="I589" s="171" t="str">
        <f t="shared" ref="I589:J589" si="594">IFS(AND($B589&lt;&gt;"",$E589&lt;&gt;""),IF(INDEX(N:N,MATCH($C589,$P:$P,0),1)&lt;&gt;"",$E589*INDEX(N:N,MATCH($C589,$P:$P,0),1)+$G589,""),AND($B589&lt;&gt;"",$D589="COST",$G589&lt;0),$G589,TRUE,)</f>
        <v/>
      </c>
      <c r="J589" s="171" t="str">
        <f t="shared" si="594"/>
        <v/>
      </c>
      <c r="K589" s="309" t="str">
        <f t="shared" si="3"/>
        <v/>
      </c>
      <c r="L589" s="311" t="str">
        <f t="shared" si="4"/>
        <v/>
      </c>
      <c r="M589" s="311" t="str">
        <f t="shared" si="5"/>
        <v/>
      </c>
      <c r="N589" s="176" t="str">
        <f>IF($P589&lt;&gt;"",IF(MAXIFS(Investment!$M:$M,Investment!$H:$H,LEFT($P589,30)&amp;"*"),MAXIFS(Investment!$M:$M,Investment!$H:$H,LEFT($P589,30)&amp;"*"),),)</f>
        <v/>
      </c>
      <c r="O589" s="177" t="str">
        <f>IF($P589&lt;&gt;"",IF(MAXIFS(Investment!$AI:$AI,Investment!$H:$H,LEFT($P589,30)&amp;"*"),MAXIFS(Investment!$AI:$AI,Investment!$H:$H,LEFT($P589,30)&amp;"*"),),)</f>
        <v/>
      </c>
      <c r="P589" s="310"/>
      <c r="Q589" s="143"/>
      <c r="R589" s="259"/>
    </row>
    <row r="590">
      <c r="A590" s="165">
        <v>42992.0</v>
      </c>
      <c r="C590" s="48"/>
      <c r="D590" s="49" t="s">
        <v>299</v>
      </c>
      <c r="E590" s="50" t="s">
        <v>1030</v>
      </c>
      <c r="F590" s="169" t="s">
        <v>1030</v>
      </c>
      <c r="G590" s="170">
        <v>-30.0</v>
      </c>
      <c r="H590" s="48" t="s">
        <v>1031</v>
      </c>
      <c r="I590" s="171" t="str">
        <f t="shared" ref="I590:J590" si="595">IFS(AND($B590&lt;&gt;"",$E590&lt;&gt;""),IF(INDEX(N:N,MATCH($C590,$P:$P,0),1)&lt;&gt;"",$E590*INDEX(N:N,MATCH($C590,$P:$P,0),1)+$G590,""),AND($B590&lt;&gt;"",$D590="COST",$G590&lt;0),$G590,TRUE,)</f>
        <v/>
      </c>
      <c r="J590" s="171" t="str">
        <f t="shared" si="595"/>
        <v/>
      </c>
      <c r="K590" s="309" t="str">
        <f t="shared" si="3"/>
        <v/>
      </c>
      <c r="L590" s="311" t="str">
        <f t="shared" si="4"/>
        <v/>
      </c>
      <c r="M590" s="311" t="str">
        <f t="shared" si="5"/>
        <v/>
      </c>
      <c r="N590" s="176" t="str">
        <f>IF($P590&lt;&gt;"",IF(MAXIFS(Investment!$M:$M,Investment!$H:$H,LEFT($P590,30)&amp;"*"),MAXIFS(Investment!$M:$M,Investment!$H:$H,LEFT($P590,30)&amp;"*"),),)</f>
        <v/>
      </c>
      <c r="O590" s="177" t="str">
        <f>IF($P590&lt;&gt;"",IF(MAXIFS(Investment!$AI:$AI,Investment!$H:$H,LEFT($P590,30)&amp;"*"),MAXIFS(Investment!$AI:$AI,Investment!$H:$H,LEFT($P590,30)&amp;"*"),),)</f>
        <v/>
      </c>
      <c r="P590" s="310"/>
      <c r="Q590" s="143"/>
      <c r="R590" s="259"/>
    </row>
    <row r="591">
      <c r="A591" s="165">
        <v>42986.0</v>
      </c>
      <c r="B591" s="166" t="s">
        <v>127</v>
      </c>
      <c r="C591" s="167" t="s">
        <v>132</v>
      </c>
      <c r="D591" s="168" t="s">
        <v>307</v>
      </c>
      <c r="E591" s="168"/>
      <c r="F591" s="169"/>
      <c r="G591" s="170">
        <v>23.49</v>
      </c>
      <c r="H591" s="167" t="s">
        <v>1032</v>
      </c>
      <c r="I591" s="171" t="str">
        <f t="shared" ref="I591:J591" si="596">IFS(AND($B591&lt;&gt;"",$E591&lt;&gt;""),IF(INDEX(N:N,MATCH($C591,$P:$P,0),1)&lt;&gt;"",$E591*INDEX(N:N,MATCH($C591,$P:$P,0),1)+$G591,""),AND($B591&lt;&gt;"",$D591="COST",$G591&lt;0),$G591,TRUE,)</f>
        <v/>
      </c>
      <c r="J591" s="171" t="str">
        <f t="shared" si="596"/>
        <v/>
      </c>
      <c r="K591" s="309" t="str">
        <f t="shared" si="3"/>
        <v>Vanguard Intermediate-Term Treasury ETF</v>
      </c>
      <c r="L591" s="311">
        <f t="shared" si="4"/>
        <v>0</v>
      </c>
      <c r="M591" s="311">
        <f t="shared" si="5"/>
        <v>-1799.24</v>
      </c>
      <c r="N591" s="176" t="str">
        <f>IF($P591&lt;&gt;"",IF(MAXIFS(Investment!$M:$M,Investment!$H:$H,LEFT($P591,30)&amp;"*"),MAXIFS(Investment!$M:$M,Investment!$H:$H,LEFT($P591,30)&amp;"*"),),)</f>
        <v/>
      </c>
      <c r="O591" s="177" t="str">
        <f>IF($P591&lt;&gt;"",IF(MAXIFS(Investment!$AI:$AI,Investment!$H:$H,LEFT($P591,30)&amp;"*"),MAXIFS(Investment!$AI:$AI,Investment!$H:$H,LEFT($P591,30)&amp;"*"),),)</f>
        <v/>
      </c>
      <c r="P591" s="310"/>
      <c r="Q591" s="143"/>
      <c r="R591" s="259"/>
    </row>
    <row r="592">
      <c r="A592" s="165">
        <v>42986.0</v>
      </c>
      <c r="B592" s="166" t="s">
        <v>127</v>
      </c>
      <c r="C592" s="167" t="s">
        <v>132</v>
      </c>
      <c r="D592" s="168" t="s">
        <v>307</v>
      </c>
      <c r="E592" s="168"/>
      <c r="F592" s="169"/>
      <c r="G592" s="170">
        <v>-4.0</v>
      </c>
      <c r="H592" s="167" t="s">
        <v>1033</v>
      </c>
      <c r="I592" s="171" t="str">
        <f t="shared" ref="I592:J592" si="597">IFS(AND($B592&lt;&gt;"",$E592&lt;&gt;""),IF(INDEX(N:N,MATCH($C592,$P:$P,0),1)&lt;&gt;"",$E592*INDEX(N:N,MATCH($C592,$P:$P,0),1)+$G592,""),AND($B592&lt;&gt;"",$D592="COST",$G592&lt;0),$G592,TRUE,)</f>
        <v/>
      </c>
      <c r="J592" s="171" t="str">
        <f t="shared" si="597"/>
        <v/>
      </c>
      <c r="K592" s="309" t="str">
        <f t="shared" si="3"/>
        <v>Vanguard Intermediate-Term Treasury ETF</v>
      </c>
      <c r="L592" s="311">
        <f t="shared" si="4"/>
        <v>0</v>
      </c>
      <c r="M592" s="311">
        <f t="shared" si="5"/>
        <v>-1799.24</v>
      </c>
      <c r="N592" s="176" t="str">
        <f>IF($P592&lt;&gt;"",IF(MAXIFS(Investment!$M:$M,Investment!$H:$H,LEFT($P592,30)&amp;"*"),MAXIFS(Investment!$M:$M,Investment!$H:$H,LEFT($P592,30)&amp;"*"),),)</f>
        <v/>
      </c>
      <c r="O592" s="177" t="str">
        <f>IF($P592&lt;&gt;"",IF(MAXIFS(Investment!$AI:$AI,Investment!$H:$H,LEFT($P592,30)&amp;"*"),MAXIFS(Investment!$AI:$AI,Investment!$H:$H,LEFT($P592,30)&amp;"*"),),)</f>
        <v/>
      </c>
      <c r="P592" s="310"/>
      <c r="Q592" s="143"/>
      <c r="R592" s="259"/>
    </row>
    <row r="593">
      <c r="A593" s="165">
        <v>42979.0</v>
      </c>
      <c r="B593" s="166" t="s">
        <v>134</v>
      </c>
      <c r="C593" s="167" t="s">
        <v>137</v>
      </c>
      <c r="D593" s="168" t="s">
        <v>332</v>
      </c>
      <c r="E593" s="168">
        <v>23.0</v>
      </c>
      <c r="F593" s="169">
        <v>101.207</v>
      </c>
      <c r="G593" s="170">
        <v>-2327.77</v>
      </c>
      <c r="H593" s="167" t="s">
        <v>1034</v>
      </c>
      <c r="I593" s="171" t="str">
        <f t="shared" ref="I593:J593" si="598">IFS(AND($B593&lt;&gt;"",$E593&lt;&gt;""),IF(INDEX(N:N,MATCH($C593,$P:$P,0),1)&lt;&gt;"",$E593*INDEX(N:N,MATCH($C593,$P:$P,0),1)+$G593,""),AND($B593&lt;&gt;"",$D593="COST",$G593&lt;0),$G593,TRUE,)</f>
        <v/>
      </c>
      <c r="J593" s="171" t="str">
        <f t="shared" si="598"/>
        <v/>
      </c>
      <c r="K593" s="309" t="str">
        <f t="shared" si="3"/>
        <v>Vanguard Extended Duration Treasury ETF</v>
      </c>
      <c r="L593" s="311">
        <f t="shared" si="4"/>
        <v>0</v>
      </c>
      <c r="M593" s="311">
        <f t="shared" si="5"/>
        <v>-4857.35</v>
      </c>
      <c r="N593" s="176" t="str">
        <f>IF($P593&lt;&gt;"",IF(MAXIFS(Investment!$M:$M,Investment!$H:$H,LEFT($P593,30)&amp;"*"),MAXIFS(Investment!$M:$M,Investment!$H:$H,LEFT($P593,30)&amp;"*"),),)</f>
        <v/>
      </c>
      <c r="O593" s="177" t="str">
        <f>IF($P593&lt;&gt;"",IF(MAXIFS(Investment!$AI:$AI,Investment!$H:$H,LEFT($P593,30)&amp;"*"),MAXIFS(Investment!$AI:$AI,Investment!$H:$H,LEFT($P593,30)&amp;"*"),),)</f>
        <v/>
      </c>
      <c r="P593" s="310"/>
      <c r="Q593" s="143"/>
      <c r="R593" s="259"/>
    </row>
    <row r="594">
      <c r="A594" s="165">
        <v>42979.0</v>
      </c>
      <c r="B594" s="166" t="s">
        <v>138</v>
      </c>
      <c r="C594" s="167" t="s">
        <v>139</v>
      </c>
      <c r="D594" s="168" t="s">
        <v>332</v>
      </c>
      <c r="E594" s="168">
        <v>57.0</v>
      </c>
      <c r="F594" s="169">
        <v>39.711</v>
      </c>
      <c r="G594" s="170">
        <v>-2263.53</v>
      </c>
      <c r="H594" s="167" t="s">
        <v>1035</v>
      </c>
      <c r="I594" s="171">
        <f t="shared" ref="I594:J594" si="599">IFS(AND($B594&lt;&gt;"",$E594&lt;&gt;""),IF(INDEX(N:N,MATCH($C594,$P:$P,0),1)&lt;&gt;"",$E594*INDEX(N:N,MATCH($C594,$P:$P,0),1)+$G594,""),AND($B594&lt;&gt;"",$D594="COST",$G594&lt;0),$G594,TRUE,)</f>
        <v>773.715</v>
      </c>
      <c r="J594" s="171">
        <f t="shared" si="599"/>
        <v>480.3237059</v>
      </c>
      <c r="K594" s="309" t="str">
        <f t="shared" si="3"/>
        <v>Vanguard S&amp;P 500 UCITS</v>
      </c>
      <c r="L594" s="311">
        <f t="shared" si="4"/>
        <v>3715</v>
      </c>
      <c r="M594" s="311">
        <f t="shared" si="5"/>
        <v>-151722.66</v>
      </c>
      <c r="N594" s="176" t="str">
        <f>IF($P594&lt;&gt;"",IF(MAXIFS(Investment!$M:$M,Investment!$H:$H,LEFT($P594,30)&amp;"*"),MAXIFS(Investment!$M:$M,Investment!$H:$H,LEFT($P594,30)&amp;"*"),),)</f>
        <v/>
      </c>
      <c r="O594" s="177" t="str">
        <f>IF($P594&lt;&gt;"",IF(MAXIFS(Investment!$AI:$AI,Investment!$H:$H,LEFT($P594,30)&amp;"*"),MAXIFS(Investment!$AI:$AI,Investment!$H:$H,LEFT($P594,30)&amp;"*"),),)</f>
        <v/>
      </c>
      <c r="P594" s="310"/>
      <c r="Q594" s="143"/>
      <c r="R594" s="259"/>
    </row>
    <row r="595">
      <c r="A595" s="165">
        <v>42979.0</v>
      </c>
      <c r="B595" s="166" t="s">
        <v>127</v>
      </c>
      <c r="C595" s="167" t="s">
        <v>132</v>
      </c>
      <c r="D595" s="168" t="s">
        <v>301</v>
      </c>
      <c r="E595" s="168"/>
      <c r="F595" s="169"/>
      <c r="G595" s="170">
        <v>-0.8</v>
      </c>
      <c r="H595" s="167" t="s">
        <v>1036</v>
      </c>
      <c r="I595" s="171">
        <f t="shared" ref="I595:J595" si="600">IFS(AND($B595&lt;&gt;"",$E595&lt;&gt;""),IF(INDEX(N:N,MATCH($C595,$P:$P,0),1)&lt;&gt;"",$E595*INDEX(N:N,MATCH($C595,$P:$P,0),1)+$G595,""),AND($B595&lt;&gt;"",$D595="COST",$G595&lt;0),$G595,TRUE,)</f>
        <v>-0.8</v>
      </c>
      <c r="J595" s="171">
        <f t="shared" si="600"/>
        <v>-0.8</v>
      </c>
      <c r="K595" s="309" t="str">
        <f t="shared" si="3"/>
        <v>Vanguard Intermediate-Term Treasury ETF</v>
      </c>
      <c r="L595" s="311">
        <f t="shared" si="4"/>
        <v>0</v>
      </c>
      <c r="M595" s="311">
        <f t="shared" si="5"/>
        <v>-1799.24</v>
      </c>
      <c r="N595" s="176" t="str">
        <f>IF($P595&lt;&gt;"",IF(MAXIFS(Investment!$M:$M,Investment!$H:$H,LEFT($P595,30)&amp;"*"),MAXIFS(Investment!$M:$M,Investment!$H:$H,LEFT($P595,30)&amp;"*"),),)</f>
        <v/>
      </c>
      <c r="O595" s="177" t="str">
        <f>IF($P595&lt;&gt;"",IF(MAXIFS(Investment!$AI:$AI,Investment!$H:$H,LEFT($P595,30)&amp;"*"),MAXIFS(Investment!$AI:$AI,Investment!$H:$H,LEFT($P595,30)&amp;"*"),),)</f>
        <v/>
      </c>
      <c r="P595" s="310"/>
      <c r="Q595" s="143"/>
      <c r="R595" s="259"/>
    </row>
    <row r="596">
      <c r="A596" s="165">
        <v>42979.0</v>
      </c>
      <c r="B596" s="166" t="s">
        <v>127</v>
      </c>
      <c r="C596" s="167" t="s">
        <v>132</v>
      </c>
      <c r="D596" s="168" t="s">
        <v>332</v>
      </c>
      <c r="E596" s="168">
        <v>21.0</v>
      </c>
      <c r="F596" s="169">
        <v>54.896</v>
      </c>
      <c r="G596" s="170">
        <v>-1152.82</v>
      </c>
      <c r="H596" s="167" t="s">
        <v>1037</v>
      </c>
      <c r="I596" s="171" t="str">
        <f t="shared" ref="I596:J596" si="601">IFS(AND($B596&lt;&gt;"",$E596&lt;&gt;""),IF(INDEX(N:N,MATCH($C596,$P:$P,0),1)&lt;&gt;"",$E596*INDEX(N:N,MATCH($C596,$P:$P,0),1)+$G596,""),AND($B596&lt;&gt;"",$D596="COST",$G596&lt;0),$G596,TRUE,)</f>
        <v/>
      </c>
      <c r="J596" s="171" t="str">
        <f t="shared" si="601"/>
        <v/>
      </c>
      <c r="K596" s="309" t="str">
        <f t="shared" si="3"/>
        <v>Vanguard Intermediate-Term Treasury ETF</v>
      </c>
      <c r="L596" s="311">
        <f t="shared" si="4"/>
        <v>0</v>
      </c>
      <c r="M596" s="311">
        <f t="shared" si="5"/>
        <v>-1799.24</v>
      </c>
      <c r="N596" s="176" t="str">
        <f>IF($P596&lt;&gt;"",IF(MAXIFS(Investment!$M:$M,Investment!$H:$H,LEFT($P596,30)&amp;"*"),MAXIFS(Investment!$M:$M,Investment!$H:$H,LEFT($P596,30)&amp;"*"),),)</f>
        <v/>
      </c>
      <c r="O596" s="177" t="str">
        <f>IF($P596&lt;&gt;"",IF(MAXIFS(Investment!$AI:$AI,Investment!$H:$H,LEFT($P596,30)&amp;"*"),MAXIFS(Investment!$AI:$AI,Investment!$H:$H,LEFT($P596,30)&amp;"*"),),)</f>
        <v/>
      </c>
      <c r="P596" s="310"/>
      <c r="Q596" s="143"/>
      <c r="R596" s="259"/>
    </row>
    <row r="597">
      <c r="A597" s="165">
        <v>42979.0</v>
      </c>
      <c r="B597" s="166" t="s">
        <v>118</v>
      </c>
      <c r="C597" s="167" t="s">
        <v>120</v>
      </c>
      <c r="D597" s="168" t="s">
        <v>332</v>
      </c>
      <c r="E597" s="168">
        <v>83.0</v>
      </c>
      <c r="F597" s="169">
        <v>7.215</v>
      </c>
      <c r="G597" s="170">
        <v>-598.84</v>
      </c>
      <c r="H597" s="167" t="s">
        <v>1038</v>
      </c>
      <c r="I597" s="171">
        <f t="shared" ref="I597:J597" si="602">IFS(AND($B597&lt;&gt;"",$E597&lt;&gt;""),IF(INDEX(N:N,MATCH($C597,$P:$P,0),1)&lt;&gt;"",$E597*INDEX(N:N,MATCH($C597,$P:$P,0),1)+$G597,""),AND($B597&lt;&gt;"",$D597="COST",$G597&lt;0),$G597,TRUE,)</f>
        <v>13.7</v>
      </c>
      <c r="J597" s="171">
        <f t="shared" si="602"/>
        <v>2.66132549</v>
      </c>
      <c r="K597" s="309" t="str">
        <f t="shared" si="3"/>
        <v>ETFS All Commodities ETC</v>
      </c>
      <c r="L597" s="311">
        <f t="shared" si="4"/>
        <v>11745</v>
      </c>
      <c r="M597" s="311">
        <f t="shared" si="5"/>
        <v>-84366.02</v>
      </c>
      <c r="N597" s="176" t="str">
        <f>IF($P597&lt;&gt;"",IF(MAXIFS(Investment!$M:$M,Investment!$H:$H,LEFT($P597,30)&amp;"*"),MAXIFS(Investment!$M:$M,Investment!$H:$H,LEFT($P597,30)&amp;"*"),),)</f>
        <v/>
      </c>
      <c r="O597" s="177" t="str">
        <f>IF($P597&lt;&gt;"",IF(MAXIFS(Investment!$AI:$AI,Investment!$H:$H,LEFT($P597,30)&amp;"*"),MAXIFS(Investment!$AI:$AI,Investment!$H:$H,LEFT($P597,30)&amp;"*"),),)</f>
        <v/>
      </c>
      <c r="P597" s="310"/>
      <c r="Q597" s="143"/>
      <c r="R597" s="259"/>
    </row>
    <row r="598">
      <c r="A598" s="165">
        <v>42979.0</v>
      </c>
      <c r="B598" s="166" t="s">
        <v>122</v>
      </c>
      <c r="C598" s="167" t="s">
        <v>125</v>
      </c>
      <c r="D598" s="168" t="s">
        <v>332</v>
      </c>
      <c r="E598" s="168">
        <v>26.0</v>
      </c>
      <c r="F598" s="169">
        <v>10.705</v>
      </c>
      <c r="G598" s="170">
        <v>-278.32</v>
      </c>
      <c r="H598" s="167" t="s">
        <v>1039</v>
      </c>
      <c r="I598" s="171" t="str">
        <f t="shared" ref="I598:J598" si="603">IFS(AND($B598&lt;&gt;"",$E598&lt;&gt;""),IF(INDEX(N:N,MATCH($C598,$P:$P,0),1)&lt;&gt;"",$E598*INDEX(N:N,MATCH($C598,$P:$P,0),1)+$G598,""),AND($B598&lt;&gt;"",$D598="COST",$G598&lt;0),$G598,TRUE,)</f>
        <v/>
      </c>
      <c r="J598" s="171" t="str">
        <f t="shared" si="603"/>
        <v/>
      </c>
      <c r="K598" s="309" t="str">
        <f t="shared" si="3"/>
        <v>iShares Gold Trust</v>
      </c>
      <c r="L598" s="311">
        <f t="shared" si="4"/>
        <v>0</v>
      </c>
      <c r="M598" s="311">
        <f t="shared" si="5"/>
        <v>140.23</v>
      </c>
      <c r="N598" s="176" t="str">
        <f>IF($P598&lt;&gt;"",IF(MAXIFS(Investment!$M:$M,Investment!$H:$H,LEFT($P598,30)&amp;"*"),MAXIFS(Investment!$M:$M,Investment!$H:$H,LEFT($P598,30)&amp;"*"),),)</f>
        <v/>
      </c>
      <c r="O598" s="177" t="str">
        <f>IF($P598&lt;&gt;"",IF(MAXIFS(Investment!$AI:$AI,Investment!$H:$H,LEFT($P598,30)&amp;"*"),MAXIFS(Investment!$AI:$AI,Investment!$H:$H,LEFT($P598,30)&amp;"*"),),)</f>
        <v/>
      </c>
      <c r="P598" s="310"/>
      <c r="Q598" s="143"/>
      <c r="R598" s="259"/>
    </row>
    <row r="599">
      <c r="A599" s="165">
        <v>42978.0</v>
      </c>
      <c r="B599" s="166"/>
      <c r="C599" s="167"/>
      <c r="D599" s="168" t="s">
        <v>301</v>
      </c>
      <c r="E599" s="168"/>
      <c r="F599" s="169"/>
      <c r="G599" s="170">
        <v>-78.9</v>
      </c>
      <c r="H599" s="167" t="s">
        <v>1040</v>
      </c>
      <c r="I599" s="171" t="str">
        <f t="shared" ref="I599:J599" si="604">IFS(AND($B599&lt;&gt;"",$E599&lt;&gt;""),IF(INDEX(N:N,MATCH($C599,$P:$P,0),1)&lt;&gt;"",$E599*INDEX(N:N,MATCH($C599,$P:$P,0),1)+$G599,""),AND($B599&lt;&gt;"",$D599="COST",$G599&lt;0),$G599,TRUE,)</f>
        <v/>
      </c>
      <c r="J599" s="171" t="str">
        <f t="shared" si="604"/>
        <v/>
      </c>
      <c r="K599" s="309" t="str">
        <f t="shared" si="3"/>
        <v/>
      </c>
      <c r="L599" s="311" t="str">
        <f t="shared" si="4"/>
        <v/>
      </c>
      <c r="M599" s="311" t="str">
        <f t="shared" si="5"/>
        <v/>
      </c>
      <c r="N599" s="176" t="str">
        <f>IF($P599&lt;&gt;"",IF(MAXIFS(Investment!$M:$M,Investment!$H:$H,LEFT($P599,30)&amp;"*"),MAXIFS(Investment!$M:$M,Investment!$H:$H,LEFT($P599,30)&amp;"*"),),)</f>
        <v/>
      </c>
      <c r="O599" s="177" t="str">
        <f>IF($P599&lt;&gt;"",IF(MAXIFS(Investment!$AI:$AI,Investment!$H:$H,LEFT($P599,30)&amp;"*"),MAXIFS(Investment!$AI:$AI,Investment!$H:$H,LEFT($P599,30)&amp;"*"),),)</f>
        <v/>
      </c>
      <c r="P599" s="310"/>
      <c r="Q599" s="143"/>
      <c r="R599" s="259"/>
    </row>
    <row r="600">
      <c r="A600" s="165">
        <v>42955.0</v>
      </c>
      <c r="B600" s="166" t="s">
        <v>127</v>
      </c>
      <c r="C600" s="167" t="s">
        <v>132</v>
      </c>
      <c r="D600" s="168" t="s">
        <v>307</v>
      </c>
      <c r="E600" s="168"/>
      <c r="F600" s="169"/>
      <c r="G600" s="170">
        <v>-3.14</v>
      </c>
      <c r="H600" s="167" t="s">
        <v>1041</v>
      </c>
      <c r="I600" s="171" t="str">
        <f t="shared" ref="I600:J600" si="605">IFS(AND($B600&lt;&gt;"",$E600&lt;&gt;""),IF(INDEX(N:N,MATCH($C600,$P:$P,0),1)&lt;&gt;"",$E600*INDEX(N:N,MATCH($C600,$P:$P,0),1)+$G600,""),AND($B600&lt;&gt;"",$D600="COST",$G600&lt;0),$G600,TRUE,)</f>
        <v/>
      </c>
      <c r="J600" s="171" t="str">
        <f t="shared" si="605"/>
        <v/>
      </c>
      <c r="K600" s="309" t="str">
        <f t="shared" si="3"/>
        <v>Vanguard Intermediate-Term Treasury ETF</v>
      </c>
      <c r="L600" s="311">
        <f t="shared" si="4"/>
        <v>0</v>
      </c>
      <c r="M600" s="311">
        <f t="shared" si="5"/>
        <v>-1799.24</v>
      </c>
      <c r="N600" s="176" t="str">
        <f>IF($P600&lt;&gt;"",IF(MAXIFS(Investment!$M:$M,Investment!$H:$H,LEFT($P600,30)&amp;"*"),MAXIFS(Investment!$M:$M,Investment!$H:$H,LEFT($P600,30)&amp;"*"),),)</f>
        <v/>
      </c>
      <c r="O600" s="177" t="str">
        <f>IF($P600&lt;&gt;"",IF(MAXIFS(Investment!$AI:$AI,Investment!$H:$H,LEFT($P600,30)&amp;"*"),MAXIFS(Investment!$AI:$AI,Investment!$H:$H,LEFT($P600,30)&amp;"*"),),)</f>
        <v/>
      </c>
      <c r="P600" s="310"/>
      <c r="Q600" s="143"/>
      <c r="R600" s="259"/>
    </row>
    <row r="601">
      <c r="A601" s="165">
        <v>42954.0</v>
      </c>
      <c r="B601" s="166" t="s">
        <v>127</v>
      </c>
      <c r="C601" s="167" t="s">
        <v>132</v>
      </c>
      <c r="D601" s="168" t="s">
        <v>307</v>
      </c>
      <c r="E601" s="168"/>
      <c r="F601" s="169"/>
      <c r="G601" s="170">
        <v>20.91</v>
      </c>
      <c r="H601" s="167" t="s">
        <v>1042</v>
      </c>
      <c r="I601" s="171" t="str">
        <f t="shared" ref="I601:J601" si="606">IFS(AND($B601&lt;&gt;"",$E601&lt;&gt;""),IF(INDEX(N:N,MATCH($C601,$P:$P,0),1)&lt;&gt;"",$E601*INDEX(N:N,MATCH($C601,$P:$P,0),1)+$G601,""),AND($B601&lt;&gt;"",$D601="COST",$G601&lt;0),$G601,TRUE,)</f>
        <v/>
      </c>
      <c r="J601" s="171" t="str">
        <f t="shared" si="606"/>
        <v/>
      </c>
      <c r="K601" s="309" t="str">
        <f t="shared" si="3"/>
        <v>Vanguard Intermediate-Term Treasury ETF</v>
      </c>
      <c r="L601" s="311">
        <f t="shared" si="4"/>
        <v>0</v>
      </c>
      <c r="M601" s="311">
        <f t="shared" si="5"/>
        <v>-1799.24</v>
      </c>
      <c r="N601" s="176" t="str">
        <f>IF($P601&lt;&gt;"",IF(MAXIFS(Investment!$M:$M,Investment!$H:$H,LEFT($P601,30)&amp;"*"),MAXIFS(Investment!$M:$M,Investment!$H:$H,LEFT($P601,30)&amp;"*"),),)</f>
        <v/>
      </c>
      <c r="O601" s="177" t="str">
        <f>IF($P601&lt;&gt;"",IF(MAXIFS(Investment!$AI:$AI,Investment!$H:$H,LEFT($P601,30)&amp;"*"),MAXIFS(Investment!$AI:$AI,Investment!$H:$H,LEFT($P601,30)&amp;"*"),),)</f>
        <v/>
      </c>
      <c r="P601" s="310"/>
      <c r="Q601" s="143"/>
      <c r="R601" s="259"/>
    </row>
    <row r="602">
      <c r="A602" s="165">
        <v>42950.0</v>
      </c>
      <c r="B602" s="55" t="s">
        <v>118</v>
      </c>
      <c r="C602" s="308" t="s">
        <v>120</v>
      </c>
      <c r="D602" s="55" t="s">
        <v>332</v>
      </c>
      <c r="E602" s="55">
        <v>67.0</v>
      </c>
      <c r="F602" s="169">
        <v>7.1</v>
      </c>
      <c r="G602" s="170">
        <v>-475.7</v>
      </c>
      <c r="H602" s="310" t="s">
        <v>1043</v>
      </c>
      <c r="I602" s="171">
        <f t="shared" ref="I602:J602" si="607">IFS(AND($B602&lt;&gt;"",$E602&lt;&gt;""),IF(INDEX(N:N,MATCH($C602,$P:$P,0),1)&lt;&gt;"",$E602*INDEX(N:N,MATCH($C602,$P:$P,0),1)+$G602,""),AND($B602&lt;&gt;"",$D602="COST",$G602&lt;0),$G602,TRUE,)</f>
        <v>18.76</v>
      </c>
      <c r="J602" s="171">
        <f t="shared" si="607"/>
        <v>9.849262745</v>
      </c>
      <c r="K602" s="309" t="str">
        <f t="shared" si="3"/>
        <v>ETFS All Commodities ETC</v>
      </c>
      <c r="L602" s="143">
        <f t="shared" si="4"/>
        <v>11745</v>
      </c>
      <c r="M602" s="143">
        <f t="shared" si="5"/>
        <v>-84366.02</v>
      </c>
      <c r="N602" s="176" t="str">
        <f>IF($P602&lt;&gt;"",IF(MAXIFS(Investment!$M:$M,Investment!$H:$H,LEFT($P602,30)&amp;"*"),MAXIFS(Investment!$M:$M,Investment!$H:$H,LEFT($P602,30)&amp;"*"),),)</f>
        <v/>
      </c>
      <c r="O602" s="177" t="str">
        <f>IF($P602&lt;&gt;"",IF(MAXIFS(Investment!$AI:$AI,Investment!$H:$H,LEFT($P602,30)&amp;"*"),MAXIFS(Investment!$AI:$AI,Investment!$H:$H,LEFT($P602,30)&amp;"*"),),)</f>
        <v/>
      </c>
      <c r="P602" s="310"/>
      <c r="Q602" s="143"/>
      <c r="R602" s="259"/>
    </row>
    <row r="603">
      <c r="A603" s="165">
        <v>42950.0</v>
      </c>
      <c r="B603" s="55" t="s">
        <v>138</v>
      </c>
      <c r="C603" s="308" t="s">
        <v>139</v>
      </c>
      <c r="D603" s="55" t="s">
        <v>332</v>
      </c>
      <c r="E603" s="55">
        <v>45.0</v>
      </c>
      <c r="F603" s="169">
        <v>39.632</v>
      </c>
      <c r="G603" s="170">
        <v>-1783.44</v>
      </c>
      <c r="H603" s="310" t="s">
        <v>1044</v>
      </c>
      <c r="I603" s="171">
        <f t="shared" ref="I603:J603" si="608">IFS(AND($B603&lt;&gt;"",$E603&lt;&gt;""),IF(INDEX(N:N,MATCH($C603,$P:$P,0),1)&lt;&gt;"",$E603*INDEX(N:N,MATCH($C603,$P:$P,0),1)+$G603,""),AND($B603&lt;&gt;"",$D603="COST",$G603&lt;0),$G603,TRUE,)</f>
        <v>614.385</v>
      </c>
      <c r="J603" s="171">
        <f t="shared" si="608"/>
        <v>382.7602941</v>
      </c>
      <c r="K603" s="309" t="str">
        <f t="shared" si="3"/>
        <v>Vanguard S&amp;P 500 UCITS</v>
      </c>
      <c r="L603" s="143">
        <f t="shared" si="4"/>
        <v>3715</v>
      </c>
      <c r="M603" s="143">
        <f t="shared" si="5"/>
        <v>-151722.66</v>
      </c>
      <c r="N603" s="176" t="str">
        <f>IF($P603&lt;&gt;"",IF(MAXIFS(Investment!$M:$M,Investment!$H:$H,LEFT($P603,30)&amp;"*"),MAXIFS(Investment!$M:$M,Investment!$H:$H,LEFT($P603,30)&amp;"*"),),)</f>
        <v/>
      </c>
      <c r="O603" s="177" t="str">
        <f>IF($P603&lt;&gt;"",IF(MAXIFS(Investment!$AI:$AI,Investment!$H:$H,LEFT($P603,30)&amp;"*"),MAXIFS(Investment!$AI:$AI,Investment!$H:$H,LEFT($P603,30)&amp;"*"),),)</f>
        <v/>
      </c>
      <c r="P603" s="310"/>
      <c r="Q603" s="143"/>
      <c r="R603" s="259"/>
    </row>
    <row r="604">
      <c r="A604" s="165">
        <v>42949.0</v>
      </c>
      <c r="B604" s="166" t="s">
        <v>127</v>
      </c>
      <c r="C604" s="167" t="s">
        <v>132</v>
      </c>
      <c r="D604" s="168" t="s">
        <v>301</v>
      </c>
      <c r="E604" s="168"/>
      <c r="F604" s="169"/>
      <c r="G604" s="170">
        <v>-0.8</v>
      </c>
      <c r="H604" s="313" t="s">
        <v>1036</v>
      </c>
      <c r="I604" s="171">
        <f t="shared" ref="I604:J604" si="609">IFS(AND($B604&lt;&gt;"",$E604&lt;&gt;""),IF(INDEX(N:N,MATCH($C604,$P:$P,0),1)&lt;&gt;"",$E604*INDEX(N:N,MATCH($C604,$P:$P,0),1)+$G604,""),AND($B604&lt;&gt;"",$D604="COST",$G604&lt;0),$G604,TRUE,)</f>
        <v>-0.8</v>
      </c>
      <c r="J604" s="171">
        <f t="shared" si="609"/>
        <v>-0.8</v>
      </c>
      <c r="K604" s="309" t="str">
        <f t="shared" si="3"/>
        <v>Vanguard Intermediate-Term Treasury ETF</v>
      </c>
      <c r="L604" s="143">
        <f t="shared" si="4"/>
        <v>0</v>
      </c>
      <c r="M604" s="143">
        <f t="shared" si="5"/>
        <v>-1799.24</v>
      </c>
      <c r="N604" s="176" t="str">
        <f>IF($P604&lt;&gt;"",IF(MAXIFS(Investment!$M:$M,Investment!$H:$H,LEFT($P604,30)&amp;"*"),MAXIFS(Investment!$M:$M,Investment!$H:$H,LEFT($P604,30)&amp;"*"),),)</f>
        <v/>
      </c>
      <c r="O604" s="177" t="str">
        <f>IF($P604&lt;&gt;"",IF(MAXIFS(Investment!$AI:$AI,Investment!$H:$H,LEFT($P604,30)&amp;"*"),MAXIFS(Investment!$AI:$AI,Investment!$H:$H,LEFT($P604,30)&amp;"*"),),)</f>
        <v/>
      </c>
      <c r="P604" s="310"/>
      <c r="Q604" s="143"/>
      <c r="R604" s="259"/>
    </row>
    <row r="605">
      <c r="A605" s="165">
        <v>42949.0</v>
      </c>
      <c r="B605" s="55" t="s">
        <v>134</v>
      </c>
      <c r="C605" s="308" t="s">
        <v>137</v>
      </c>
      <c r="D605" s="55" t="s">
        <v>332</v>
      </c>
      <c r="E605" s="55">
        <v>31.0</v>
      </c>
      <c r="F605" s="169">
        <v>99.369</v>
      </c>
      <c r="G605" s="170">
        <v>-3080.45</v>
      </c>
      <c r="H605" s="310" t="s">
        <v>1045</v>
      </c>
      <c r="I605" s="171" t="str">
        <f t="shared" ref="I605:J605" si="610">IFS(AND($B605&lt;&gt;"",$E605&lt;&gt;""),IF(INDEX(N:N,MATCH($C605,$P:$P,0),1)&lt;&gt;"",$E605*INDEX(N:N,MATCH($C605,$P:$P,0),1)+$G605,""),AND($B605&lt;&gt;"",$D605="COST",$G605&lt;0),$G605,TRUE,)</f>
        <v/>
      </c>
      <c r="J605" s="171" t="str">
        <f t="shared" si="610"/>
        <v/>
      </c>
      <c r="K605" s="309" t="str">
        <f t="shared" si="3"/>
        <v>Vanguard Extended Duration Treasury ETF</v>
      </c>
      <c r="L605" s="143">
        <f t="shared" si="4"/>
        <v>0</v>
      </c>
      <c r="M605" s="143">
        <f t="shared" si="5"/>
        <v>-4857.35</v>
      </c>
      <c r="N605" s="176" t="str">
        <f>IF($P605&lt;&gt;"",IF(MAXIFS(Investment!$M:$M,Investment!$H:$H,LEFT($P605,30)&amp;"*"),MAXIFS(Investment!$M:$M,Investment!$H:$H,LEFT($P605,30)&amp;"*"),),)</f>
        <v/>
      </c>
      <c r="O605" s="177" t="str">
        <f>IF($P605&lt;&gt;"",IF(MAXIFS(Investment!$AI:$AI,Investment!$H:$H,LEFT($P605,30)&amp;"*"),MAXIFS(Investment!$AI:$AI,Investment!$H:$H,LEFT($P605,30)&amp;"*"),),)</f>
        <v/>
      </c>
      <c r="P605" s="310"/>
      <c r="Q605" s="143"/>
      <c r="R605" s="259"/>
    </row>
    <row r="606">
      <c r="A606" s="165">
        <v>42949.0</v>
      </c>
      <c r="B606" s="55" t="s">
        <v>127</v>
      </c>
      <c r="C606" s="308" t="s">
        <v>132</v>
      </c>
      <c r="D606" s="55" t="s">
        <v>332</v>
      </c>
      <c r="E606" s="55">
        <v>21.0</v>
      </c>
      <c r="F606" s="169">
        <v>54.704</v>
      </c>
      <c r="G606" s="170">
        <v>-1148.78</v>
      </c>
      <c r="H606" s="310" t="s">
        <v>1046</v>
      </c>
      <c r="I606" s="171" t="str">
        <f t="shared" ref="I606:J606" si="611">IFS(AND($B606&lt;&gt;"",$E606&lt;&gt;""),IF(INDEX(N:N,MATCH($C606,$P:$P,0),1)&lt;&gt;"",$E606*INDEX(N:N,MATCH($C606,$P:$P,0),1)+$G606,""),AND($B606&lt;&gt;"",$D606="COST",$G606&lt;0),$G606,TRUE,)</f>
        <v/>
      </c>
      <c r="J606" s="171" t="str">
        <f t="shared" si="611"/>
        <v/>
      </c>
      <c r="K606" s="309" t="str">
        <f t="shared" si="3"/>
        <v>Vanguard Intermediate-Term Treasury ETF</v>
      </c>
      <c r="L606" s="143">
        <f t="shared" si="4"/>
        <v>0</v>
      </c>
      <c r="M606" s="143">
        <f t="shared" si="5"/>
        <v>-1799.24</v>
      </c>
      <c r="N606" s="176" t="str">
        <f>IF($P606&lt;&gt;"",IF(MAXIFS(Investment!$M:$M,Investment!$H:$H,LEFT($P606,30)&amp;"*"),MAXIFS(Investment!$M:$M,Investment!$H:$H,LEFT($P606,30)&amp;"*"),),)</f>
        <v/>
      </c>
      <c r="O606" s="177" t="str">
        <f>IF($P606&lt;&gt;"",IF(MAXIFS(Investment!$AI:$AI,Investment!$H:$H,LEFT($P606,30)&amp;"*"),MAXIFS(Investment!$AI:$AI,Investment!$H:$H,LEFT($P606,30)&amp;"*"),),)</f>
        <v/>
      </c>
      <c r="P606" s="310"/>
      <c r="Q606" s="143"/>
      <c r="R606" s="259"/>
    </row>
    <row r="607">
      <c r="A607" s="165">
        <v>42949.0</v>
      </c>
      <c r="B607" s="55" t="s">
        <v>122</v>
      </c>
      <c r="C607" s="308" t="s">
        <v>125</v>
      </c>
      <c r="D607" s="55" t="s">
        <v>332</v>
      </c>
      <c r="E607" s="55">
        <v>41.0</v>
      </c>
      <c r="F607" s="169">
        <v>10.317</v>
      </c>
      <c r="G607" s="170">
        <v>-422.98</v>
      </c>
      <c r="H607" s="310" t="s">
        <v>1047</v>
      </c>
      <c r="I607" s="171" t="str">
        <f t="shared" ref="I607:J607" si="612">IFS(AND($B607&lt;&gt;"",$E607&lt;&gt;""),IF(INDEX(N:N,MATCH($C607,$P:$P,0),1)&lt;&gt;"",$E607*INDEX(N:N,MATCH($C607,$P:$P,0),1)+$G607,""),AND($B607&lt;&gt;"",$D607="COST",$G607&lt;0),$G607,TRUE,)</f>
        <v/>
      </c>
      <c r="J607" s="171" t="str">
        <f t="shared" si="612"/>
        <v/>
      </c>
      <c r="K607" s="309" t="str">
        <f t="shared" si="3"/>
        <v>iShares Gold Trust</v>
      </c>
      <c r="L607" s="143">
        <f t="shared" si="4"/>
        <v>0</v>
      </c>
      <c r="M607" s="143">
        <f t="shared" si="5"/>
        <v>140.23</v>
      </c>
      <c r="N607" s="176" t="str">
        <f>IF($P607&lt;&gt;"",IF(MAXIFS(Investment!$M:$M,Investment!$H:$H,LEFT($P607,30)&amp;"*"),MAXIFS(Investment!$M:$M,Investment!$H:$H,LEFT($P607,30)&amp;"*"),),)</f>
        <v/>
      </c>
      <c r="O607" s="177" t="str">
        <f>IF($P607&lt;&gt;"",IF(MAXIFS(Investment!$AI:$AI,Investment!$H:$H,LEFT($P607,30)&amp;"*"),MAXIFS(Investment!$AI:$AI,Investment!$H:$H,LEFT($P607,30)&amp;"*"),),)</f>
        <v/>
      </c>
      <c r="P607" s="310"/>
      <c r="Q607" s="143"/>
      <c r="R607" s="259"/>
    </row>
    <row r="608">
      <c r="A608" s="165">
        <v>42947.0</v>
      </c>
      <c r="B608" s="166"/>
      <c r="C608" s="167"/>
      <c r="D608" s="168" t="s">
        <v>301</v>
      </c>
      <c r="E608" s="168"/>
      <c r="F608" s="169"/>
      <c r="G608" s="170">
        <v>-5.0</v>
      </c>
      <c r="H608" s="167" t="s">
        <v>743</v>
      </c>
      <c r="I608" s="171" t="str">
        <f t="shared" ref="I608:J608" si="613">IFS(AND($B608&lt;&gt;"",$E608&lt;&gt;""),IF(INDEX(N:N,MATCH($C608,$P:$P,0),1)&lt;&gt;"",$E608*INDEX(N:N,MATCH($C608,$P:$P,0),1)+$G608,""),AND($B608&lt;&gt;"",$D608="COST",$G608&lt;0),$G608,TRUE,)</f>
        <v/>
      </c>
      <c r="J608" s="171" t="str">
        <f t="shared" si="613"/>
        <v/>
      </c>
      <c r="K608" s="309" t="str">
        <f t="shared" si="3"/>
        <v/>
      </c>
      <c r="L608" s="143" t="str">
        <f t="shared" si="4"/>
        <v/>
      </c>
      <c r="M608" s="143" t="str">
        <f t="shared" si="5"/>
        <v/>
      </c>
      <c r="N608" s="176" t="str">
        <f>IF($P608&lt;&gt;"",IF(MAXIFS(Investment!$M:$M,Investment!$H:$H,LEFT($P608,30)&amp;"*"),MAXIFS(Investment!$M:$M,Investment!$H:$H,LEFT($P608,30)&amp;"*"),),)</f>
        <v/>
      </c>
      <c r="O608" s="177" t="str">
        <f>IF($P608&lt;&gt;"",IF(MAXIFS(Investment!$AI:$AI,Investment!$H:$H,LEFT($P608,30)&amp;"*"),MAXIFS(Investment!$AI:$AI,Investment!$H:$H,LEFT($P608,30)&amp;"*"),),)</f>
        <v/>
      </c>
      <c r="P608" s="310"/>
      <c r="Q608" s="143"/>
      <c r="R608" s="259"/>
    </row>
    <row r="609">
      <c r="A609" s="165">
        <v>42947.0</v>
      </c>
      <c r="B609" s="166"/>
      <c r="C609" s="167"/>
      <c r="D609" s="168" t="s">
        <v>301</v>
      </c>
      <c r="E609" s="168"/>
      <c r="F609" s="169"/>
      <c r="G609" s="170">
        <v>-66.68</v>
      </c>
      <c r="H609" s="313" t="s">
        <v>1048</v>
      </c>
      <c r="I609" s="171" t="str">
        <f t="shared" ref="I609:J609" si="614">IFS(AND($B609&lt;&gt;"",$E609&lt;&gt;""),IF(INDEX(N:N,MATCH($C609,$P:$P,0),1)&lt;&gt;"",$E609*INDEX(N:N,MATCH($C609,$P:$P,0),1)+$G609,""),AND($B609&lt;&gt;"",$D609="COST",$G609&lt;0),$G609,TRUE,)</f>
        <v/>
      </c>
      <c r="J609" s="171" t="str">
        <f t="shared" si="614"/>
        <v/>
      </c>
      <c r="K609" s="309" t="str">
        <f t="shared" si="3"/>
        <v/>
      </c>
      <c r="L609" s="143" t="str">
        <f t="shared" si="4"/>
        <v/>
      </c>
      <c r="M609" s="143" t="str">
        <f t="shared" si="5"/>
        <v/>
      </c>
      <c r="N609" s="176" t="str">
        <f>IF($P609&lt;&gt;"",IF(MAXIFS(Investment!$M:$M,Investment!$H:$H,LEFT($P609,30)&amp;"*"),MAXIFS(Investment!$M:$M,Investment!$H:$H,LEFT($P609,30)&amp;"*"),),)</f>
        <v/>
      </c>
      <c r="O609" s="177" t="str">
        <f>IF($P609&lt;&gt;"",IF(MAXIFS(Investment!$AI:$AI,Investment!$H:$H,LEFT($P609,30)&amp;"*"),MAXIFS(Investment!$AI:$AI,Investment!$H:$H,LEFT($P609,30)&amp;"*"),),)</f>
        <v/>
      </c>
      <c r="P609" s="172"/>
      <c r="Q609" s="143"/>
      <c r="R609" s="259"/>
    </row>
    <row r="610">
      <c r="A610" s="165">
        <v>42927.0</v>
      </c>
      <c r="B610" s="166" t="s">
        <v>127</v>
      </c>
      <c r="C610" s="167" t="s">
        <v>130</v>
      </c>
      <c r="D610" s="168" t="s">
        <v>307</v>
      </c>
      <c r="E610" s="168"/>
      <c r="F610" s="169"/>
      <c r="G610" s="170">
        <v>-2.54</v>
      </c>
      <c r="H610" s="313" t="s">
        <v>1049</v>
      </c>
      <c r="I610" s="171" t="str">
        <f t="shared" ref="I610:J610" si="615">IFS(AND($B610&lt;&gt;"",$E610&lt;&gt;""),IF(INDEX(N:N,MATCH($C610,$P:$P,0),1)&lt;&gt;"",$E610*INDEX(N:N,MATCH($C610,$P:$P,0),1)+$G610,""),AND($B610&lt;&gt;"",$D610="COST",$G610&lt;0),$G610,TRUE,)</f>
        <v/>
      </c>
      <c r="J610" s="171" t="str">
        <f t="shared" si="615"/>
        <v/>
      </c>
      <c r="K610" s="309" t="str">
        <f t="shared" si="3"/>
        <v>iShares 7-10 Year Treasury Bond ETF</v>
      </c>
      <c r="L610" s="143">
        <f t="shared" si="4"/>
        <v>0</v>
      </c>
      <c r="M610" s="143">
        <f t="shared" si="5"/>
        <v>-345.82</v>
      </c>
      <c r="N610" s="176" t="str">
        <f>IF($P610&lt;&gt;"",IF(MAXIFS(Investment!$M:$M,Investment!$H:$H,LEFT($P610,30)&amp;"*"),MAXIFS(Investment!$M:$M,Investment!$H:$H,LEFT($P610,30)&amp;"*"),),)</f>
        <v/>
      </c>
      <c r="O610" s="177" t="str">
        <f>IF($P610&lt;&gt;"",IF(MAXIFS(Investment!$AI:$AI,Investment!$H:$H,LEFT($P610,30)&amp;"*"),MAXIFS(Investment!$AI:$AI,Investment!$H:$H,LEFT($P610,30)&amp;"*"),),)</f>
        <v/>
      </c>
      <c r="P610" s="172"/>
      <c r="Q610" s="143"/>
      <c r="R610" s="259"/>
    </row>
    <row r="611">
      <c r="A611" s="165">
        <v>42926.0</v>
      </c>
      <c r="B611" s="166" t="s">
        <v>127</v>
      </c>
      <c r="C611" s="167" t="s">
        <v>130</v>
      </c>
      <c r="D611" s="168" t="s">
        <v>307</v>
      </c>
      <c r="E611" s="168"/>
      <c r="F611" s="169"/>
      <c r="G611" s="170">
        <v>19.77</v>
      </c>
      <c r="H611" s="313" t="s">
        <v>1050</v>
      </c>
      <c r="I611" s="171" t="str">
        <f t="shared" ref="I611:J611" si="616">IFS(AND($B611&lt;&gt;"",$E611&lt;&gt;""),IF(INDEX(N:N,MATCH($C611,$P:$P,0),1)&lt;&gt;"",$E611*INDEX(N:N,MATCH($C611,$P:$P,0),1)+$G611,""),AND($B611&lt;&gt;"",$D611="COST",$G611&lt;0),$G611,TRUE,)</f>
        <v/>
      </c>
      <c r="J611" s="171" t="str">
        <f t="shared" si="616"/>
        <v/>
      </c>
      <c r="K611" s="309" t="str">
        <f t="shared" si="3"/>
        <v>iShares 7-10 Year Treasury Bond ETF</v>
      </c>
      <c r="L611" s="143">
        <f t="shared" si="4"/>
        <v>0</v>
      </c>
      <c r="M611" s="143">
        <f t="shared" si="5"/>
        <v>-345.82</v>
      </c>
      <c r="N611" s="176" t="str">
        <f>IF($P611&lt;&gt;"",IF(MAXIFS(Investment!$M:$M,Investment!$H:$H,LEFT($P611,30)&amp;"*"),MAXIFS(Investment!$M:$M,Investment!$H:$H,LEFT($P611,30)&amp;"*"),),)</f>
        <v/>
      </c>
      <c r="O611" s="177" t="str">
        <f>IF($P611&lt;&gt;"",IF(MAXIFS(Investment!$AI:$AI,Investment!$H:$H,LEFT($P611,30)&amp;"*"),MAXIFS(Investment!$AI:$AI,Investment!$H:$H,LEFT($P611,30)&amp;"*"),),)</f>
        <v/>
      </c>
      <c r="P611" s="172"/>
      <c r="Q611" s="143"/>
      <c r="R611" s="259"/>
    </row>
    <row r="612">
      <c r="A612" s="165">
        <v>42922.0</v>
      </c>
      <c r="B612" s="166" t="s">
        <v>134</v>
      </c>
      <c r="C612" s="167" t="s">
        <v>137</v>
      </c>
      <c r="D612" s="168" t="s">
        <v>307</v>
      </c>
      <c r="E612" s="168"/>
      <c r="F612" s="169"/>
      <c r="G612" s="170">
        <v>-31.95</v>
      </c>
      <c r="H612" s="313" t="s">
        <v>1051</v>
      </c>
      <c r="I612" s="171" t="str">
        <f t="shared" ref="I612:J612" si="617">IFS(AND($B612&lt;&gt;"",$E612&lt;&gt;""),IF(INDEX(N:N,MATCH($C612,$P:$P,0),1)&lt;&gt;"",$E612*INDEX(N:N,MATCH($C612,$P:$P,0),1)+$G612,""),AND($B612&lt;&gt;"",$D612="COST",$G612&lt;0),$G612,TRUE,)</f>
        <v/>
      </c>
      <c r="J612" s="171" t="str">
        <f t="shared" si="617"/>
        <v/>
      </c>
      <c r="K612" s="309" t="str">
        <f t="shared" si="3"/>
        <v>Vanguard Extended Duration Treasury ETF</v>
      </c>
      <c r="L612" s="143">
        <f t="shared" si="4"/>
        <v>0</v>
      </c>
      <c r="M612" s="143">
        <f t="shared" si="5"/>
        <v>-4857.35</v>
      </c>
      <c r="N612" s="176" t="str">
        <f>IF($P612&lt;&gt;"",IF(MAXIFS(Investment!$M:$M,Investment!$H:$H,LEFT($P612,30)&amp;"*"),MAXIFS(Investment!$M:$M,Investment!$H:$H,LEFT($P612,30)&amp;"*"),),)</f>
        <v/>
      </c>
      <c r="O612" s="177" t="str">
        <f>IF($P612&lt;&gt;"",IF(MAXIFS(Investment!$AI:$AI,Investment!$H:$H,LEFT($P612,30)&amp;"*"),MAXIFS(Investment!$AI:$AI,Investment!$H:$H,LEFT($P612,30)&amp;"*"),),)</f>
        <v/>
      </c>
      <c r="P612" s="172"/>
      <c r="Q612" s="143"/>
      <c r="R612" s="259"/>
    </row>
    <row r="613">
      <c r="A613" s="165">
        <v>42921.0</v>
      </c>
      <c r="B613" s="166" t="s">
        <v>134</v>
      </c>
      <c r="C613" s="167" t="s">
        <v>137</v>
      </c>
      <c r="D613" s="168" t="s">
        <v>307</v>
      </c>
      <c r="E613" s="168"/>
      <c r="F613" s="169"/>
      <c r="G613" s="170">
        <v>255.04</v>
      </c>
      <c r="H613" s="313" t="s">
        <v>1052</v>
      </c>
      <c r="I613" s="171" t="str">
        <f t="shared" ref="I613:J613" si="618">IFS(AND($B613&lt;&gt;"",$E613&lt;&gt;""),IF(INDEX(N:N,MATCH($C613,$P:$P,0),1)&lt;&gt;"",$E613*INDEX(N:N,MATCH($C613,$P:$P,0),1)+$G613,""),AND($B613&lt;&gt;"",$D613="COST",$G613&lt;0),$G613,TRUE,)</f>
        <v/>
      </c>
      <c r="J613" s="171" t="str">
        <f t="shared" si="618"/>
        <v/>
      </c>
      <c r="K613" s="309" t="str">
        <f t="shared" si="3"/>
        <v>Vanguard Extended Duration Treasury ETF</v>
      </c>
      <c r="L613" s="143">
        <f t="shared" si="4"/>
        <v>0</v>
      </c>
      <c r="M613" s="143">
        <f t="shared" si="5"/>
        <v>-4857.35</v>
      </c>
      <c r="N613" s="176" t="str">
        <f>IF($P613&lt;&gt;"",IF(MAXIFS(Investment!$M:$M,Investment!$H:$H,LEFT($P613,30)&amp;"*"),MAXIFS(Investment!$M:$M,Investment!$H:$H,LEFT($P613,30)&amp;"*"),),)</f>
        <v/>
      </c>
      <c r="O613" s="177" t="str">
        <f>IF($P613&lt;&gt;"",IF(MAXIFS(Investment!$AI:$AI,Investment!$H:$H,LEFT($P613,30)&amp;"*"),MAXIFS(Investment!$AI:$AI,Investment!$H:$H,LEFT($P613,30)&amp;"*"),),)</f>
        <v/>
      </c>
      <c r="P613" s="172"/>
      <c r="Q613" s="143"/>
      <c r="R613" s="259"/>
    </row>
    <row r="614">
      <c r="A614" s="165">
        <v>42921.0</v>
      </c>
      <c r="B614" s="166" t="s">
        <v>127</v>
      </c>
      <c r="C614" s="167" t="s">
        <v>132</v>
      </c>
      <c r="D614" s="168" t="s">
        <v>332</v>
      </c>
      <c r="E614" s="168">
        <v>286.0</v>
      </c>
      <c r="F614" s="169">
        <v>56.941</v>
      </c>
      <c r="G614" s="170">
        <v>-16285.26</v>
      </c>
      <c r="H614" s="313" t="s">
        <v>1053</v>
      </c>
      <c r="I614" s="171" t="str">
        <f t="shared" ref="I614:J614" si="619">IFS(AND($B614&lt;&gt;"",$E614&lt;&gt;""),IF(INDEX(N:N,MATCH($C614,$P:$P,0),1)&lt;&gt;"",$E614*INDEX(N:N,MATCH($C614,$P:$P,0),1)+$G614,""),AND($B614&lt;&gt;"",$D614="COST",$G614&lt;0),$G614,TRUE,)</f>
        <v/>
      </c>
      <c r="J614" s="171" t="str">
        <f t="shared" si="619"/>
        <v/>
      </c>
      <c r="K614" s="309" t="str">
        <f t="shared" si="3"/>
        <v>Vanguard Intermediate-Term Treasury ETF</v>
      </c>
      <c r="L614" s="143">
        <f t="shared" si="4"/>
        <v>0</v>
      </c>
      <c r="M614" s="143">
        <f t="shared" si="5"/>
        <v>-1799.24</v>
      </c>
      <c r="N614" s="176" t="str">
        <f>IF($P614&lt;&gt;"",IF(MAXIFS(Investment!$M:$M,Investment!$H:$H,LEFT($P614,30)&amp;"*"),MAXIFS(Investment!$M:$M,Investment!$H:$H,LEFT($P614,30)&amp;"*"),),)</f>
        <v/>
      </c>
      <c r="O614" s="177" t="str">
        <f>IF($P614&lt;&gt;"",IF(MAXIFS(Investment!$AI:$AI,Investment!$H:$H,LEFT($P614,30)&amp;"*"),MAXIFS(Investment!$AI:$AI,Investment!$H:$H,LEFT($P614,30)&amp;"*"),),)</f>
        <v/>
      </c>
      <c r="P614" s="172"/>
      <c r="Q614" s="143"/>
      <c r="R614" s="259"/>
    </row>
    <row r="615">
      <c r="A615" s="165">
        <v>42921.0</v>
      </c>
      <c r="B615" s="55" t="s">
        <v>127</v>
      </c>
      <c r="C615" s="308" t="s">
        <v>132</v>
      </c>
      <c r="D615" s="55" t="s">
        <v>301</v>
      </c>
      <c r="E615" s="154"/>
      <c r="F615" s="169"/>
      <c r="G615" s="170">
        <v>-4.77</v>
      </c>
      <c r="H615" s="314" t="s">
        <v>1054</v>
      </c>
      <c r="I615" s="171">
        <f t="shared" ref="I615:J615" si="620">IFS(AND($B615&lt;&gt;"",$E615&lt;&gt;""),IF(INDEX(N:N,MATCH($C615,$P:$P,0),1)&lt;&gt;"",$E615*INDEX(N:N,MATCH($C615,$P:$P,0),1)+$G615,""),AND($B615&lt;&gt;"",$D615="COST",$G615&lt;0),$G615,TRUE,)</f>
        <v>-4.77</v>
      </c>
      <c r="J615" s="171">
        <f t="shared" si="620"/>
        <v>-4.77</v>
      </c>
      <c r="K615" s="309" t="str">
        <f t="shared" si="3"/>
        <v>Vanguard Intermediate-Term Treasury ETF</v>
      </c>
      <c r="L615" s="143">
        <f t="shared" si="4"/>
        <v>0</v>
      </c>
      <c r="M615" s="143">
        <f t="shared" si="5"/>
        <v>-1799.24</v>
      </c>
      <c r="N615" s="176" t="str">
        <f>IF($P615&lt;&gt;"",IF(MAXIFS(Investment!$M:$M,Investment!$H:$H,LEFT($P615,30)&amp;"*"),MAXIFS(Investment!$M:$M,Investment!$H:$H,LEFT($P615,30)&amp;"*"),),)</f>
        <v/>
      </c>
      <c r="O615" s="177" t="str">
        <f>IF($P615&lt;&gt;"",IF(MAXIFS(Investment!$AI:$AI,Investment!$H:$H,LEFT($P615,30)&amp;"*"),MAXIFS(Investment!$AI:$AI,Investment!$H:$H,LEFT($P615,30)&amp;"*"),),)</f>
        <v/>
      </c>
      <c r="P615" s="172"/>
      <c r="Q615" s="143"/>
      <c r="R615" s="259"/>
    </row>
    <row r="616">
      <c r="A616" s="165">
        <v>42920.0</v>
      </c>
      <c r="B616" s="166" t="s">
        <v>118</v>
      </c>
      <c r="C616" s="167" t="s">
        <v>120</v>
      </c>
      <c r="D616" s="168" t="s">
        <v>332</v>
      </c>
      <c r="E616" s="168">
        <v>1096.0</v>
      </c>
      <c r="F616" s="169">
        <v>7.5</v>
      </c>
      <c r="G616" s="170">
        <v>-8220.0</v>
      </c>
      <c r="H616" s="313" t="s">
        <v>1055</v>
      </c>
      <c r="I616" s="171">
        <f t="shared" ref="I616:J616" si="621">IFS(AND($B616&lt;&gt;"",$E616&lt;&gt;""),IF(INDEX(N:N,MATCH($C616,$P:$P,0),1)&lt;&gt;"",$E616*INDEX(N:N,MATCH($C616,$P:$P,0),1)+$G616,""),AND($B616&lt;&gt;"",$D616="COST",$G616&lt;0),$G616,TRUE,)</f>
        <v>-131.52</v>
      </c>
      <c r="J616" s="171">
        <f t="shared" si="621"/>
        <v>-277.283702</v>
      </c>
      <c r="K616" s="309" t="str">
        <f t="shared" si="3"/>
        <v>ETFS All Commodities ETC</v>
      </c>
      <c r="L616" s="143">
        <f t="shared" si="4"/>
        <v>11745</v>
      </c>
      <c r="M616" s="143">
        <f t="shared" si="5"/>
        <v>-84366.02</v>
      </c>
      <c r="N616" s="176" t="str">
        <f>IF($P616&lt;&gt;"",IF(MAXIFS(Investment!$M:$M,Investment!$H:$H,LEFT($P616,30)&amp;"*"),MAXIFS(Investment!$M:$M,Investment!$H:$H,LEFT($P616,30)&amp;"*"),),)</f>
        <v/>
      </c>
      <c r="O616" s="177" t="str">
        <f>IF($P616&lt;&gt;"",IF(MAXIFS(Investment!$AI:$AI,Investment!$H:$H,LEFT($P616,30)&amp;"*"),MAXIFS(Investment!$AI:$AI,Investment!$H:$H,LEFT($P616,30)&amp;"*"),),)</f>
        <v/>
      </c>
      <c r="P616" s="172"/>
      <c r="Q616" s="143"/>
      <c r="R616" s="259"/>
    </row>
    <row r="617">
      <c r="A617" s="165">
        <v>42919.0</v>
      </c>
      <c r="B617" s="166" t="s">
        <v>138</v>
      </c>
      <c r="C617" s="167" t="s">
        <v>139</v>
      </c>
      <c r="D617" s="168" t="s">
        <v>332</v>
      </c>
      <c r="E617" s="168">
        <v>804.0</v>
      </c>
      <c r="F617" s="169">
        <v>40.443</v>
      </c>
      <c r="G617" s="170">
        <v>-32516.18</v>
      </c>
      <c r="H617" s="313" t="s">
        <v>1056</v>
      </c>
      <c r="I617" s="171">
        <f t="shared" ref="I617:J617" si="622">IFS(AND($B617&lt;&gt;"",$E617&lt;&gt;""),IF(INDEX(N:N,MATCH($C617,$P:$P,0),1)&lt;&gt;"",$E617*INDEX(N:N,MATCH($C617,$P:$P,0),1)+$G617,""),AND($B617&lt;&gt;"",$D617="COST",$G617&lt;0),$G617,TRUE,)</f>
        <v>10324.96</v>
      </c>
      <c r="J617" s="171">
        <f t="shared" si="622"/>
        <v>6186.598588</v>
      </c>
      <c r="K617" s="309" t="str">
        <f t="shared" si="3"/>
        <v>Vanguard S&amp;P 500 UCITS</v>
      </c>
      <c r="L617" s="143">
        <f t="shared" si="4"/>
        <v>3715</v>
      </c>
      <c r="M617" s="143">
        <f t="shared" si="5"/>
        <v>-151722.66</v>
      </c>
      <c r="N617" s="176" t="str">
        <f>IF($P617&lt;&gt;"",IF(MAXIFS(Investment!$M:$M,Investment!$H:$H,LEFT($P617,30)&amp;"*"),MAXIFS(Investment!$M:$M,Investment!$H:$H,LEFT($P617,30)&amp;"*"),),)</f>
        <v/>
      </c>
      <c r="O617" s="177" t="str">
        <f>IF($P617&lt;&gt;"",IF(MAXIFS(Investment!$AI:$AI,Investment!$H:$H,LEFT($P617,30)&amp;"*"),MAXIFS(Investment!$AI:$AI,Investment!$H:$H,LEFT($P617,30)&amp;"*"),),)</f>
        <v/>
      </c>
      <c r="P617" s="172"/>
      <c r="Q617" s="143"/>
      <c r="R617" s="259"/>
    </row>
    <row r="618">
      <c r="A618" s="165">
        <v>42919.0</v>
      </c>
      <c r="B618" s="55" t="s">
        <v>118</v>
      </c>
      <c r="C618" s="308" t="s">
        <v>119</v>
      </c>
      <c r="D618" s="55" t="s">
        <v>280</v>
      </c>
      <c r="E618" s="55">
        <v>-390.0</v>
      </c>
      <c r="F618" s="169">
        <v>18.19</v>
      </c>
      <c r="G618" s="170">
        <v>7094.1</v>
      </c>
      <c r="H618" s="314" t="s">
        <v>1057</v>
      </c>
      <c r="I618" s="171" t="str">
        <f t="shared" ref="I618:J618" si="623">IFS(AND($B618&lt;&gt;"",$E618&lt;&gt;""),IF(INDEX(N:N,MATCH($C618,$P:$P,0),1)&lt;&gt;"",$E618*INDEX(N:N,MATCH($C618,$P:$P,0),1)+$G618,""),AND($B618&lt;&gt;"",$D618="COST",$G618&lt;0),$G618,TRUE,)</f>
        <v/>
      </c>
      <c r="J618" s="171" t="str">
        <f t="shared" si="623"/>
        <v/>
      </c>
      <c r="K618" s="309" t="str">
        <f t="shared" si="3"/>
        <v>iShares Diversified Commodity Swap UCITS ETF DE</v>
      </c>
      <c r="L618" s="143">
        <f t="shared" si="4"/>
        <v>0</v>
      </c>
      <c r="M618" s="143">
        <f t="shared" si="5"/>
        <v>-296.42</v>
      </c>
      <c r="N618" s="176" t="str">
        <f>IF($P618&lt;&gt;"",IF(MAXIFS(Investment!$M:$M,Investment!$H:$H,LEFT($P618,30)&amp;"*"),MAXIFS(Investment!$M:$M,Investment!$H:$H,LEFT($P618,30)&amp;"*"),),)</f>
        <v/>
      </c>
      <c r="O618" s="177" t="str">
        <f>IF($P618&lt;&gt;"",IF(MAXIFS(Investment!$AI:$AI,Investment!$H:$H,LEFT($P618,30)&amp;"*"),MAXIFS(Investment!$AI:$AI,Investment!$H:$H,LEFT($P618,30)&amp;"*"),),)</f>
        <v/>
      </c>
      <c r="P618" s="172"/>
      <c r="Q618" s="143"/>
      <c r="R618" s="259"/>
    </row>
    <row r="619">
      <c r="A619" s="165">
        <v>42919.0</v>
      </c>
      <c r="B619" s="55" t="s">
        <v>127</v>
      </c>
      <c r="C619" s="308" t="s">
        <v>130</v>
      </c>
      <c r="D619" s="55" t="s">
        <v>280</v>
      </c>
      <c r="E619" s="55">
        <v>-146.0</v>
      </c>
      <c r="F619" s="169">
        <v>93.62</v>
      </c>
      <c r="G619" s="170">
        <v>13669.24</v>
      </c>
      <c r="H619" s="314" t="s">
        <v>1058</v>
      </c>
      <c r="I619" s="171" t="str">
        <f t="shared" ref="I619:J619" si="624">IFS(AND($B619&lt;&gt;"",$E619&lt;&gt;""),IF(INDEX(N:N,MATCH($C619,$P:$P,0),1)&lt;&gt;"",$E619*INDEX(N:N,MATCH($C619,$P:$P,0),1)+$G619,""),AND($B619&lt;&gt;"",$D619="COST",$G619&lt;0),$G619,TRUE,)</f>
        <v/>
      </c>
      <c r="J619" s="171" t="str">
        <f t="shared" si="624"/>
        <v/>
      </c>
      <c r="K619" s="309" t="str">
        <f t="shared" si="3"/>
        <v>iShares 7-10 Year Treasury Bond ETF</v>
      </c>
      <c r="L619" s="143">
        <f t="shared" si="4"/>
        <v>0</v>
      </c>
      <c r="M619" s="143">
        <f t="shared" si="5"/>
        <v>-345.82</v>
      </c>
      <c r="N619" s="176" t="str">
        <f>IF($P619&lt;&gt;"",IF(MAXIFS(Investment!$M:$M,Investment!$H:$H,LEFT($P619,30)&amp;"*"),MAXIFS(Investment!$M:$M,Investment!$H:$H,LEFT($P619,30)&amp;"*"),),)</f>
        <v/>
      </c>
      <c r="O619" s="177" t="str">
        <f>IF($P619&lt;&gt;"",IF(MAXIFS(Investment!$AI:$AI,Investment!$H:$H,LEFT($P619,30)&amp;"*"),MAXIFS(Investment!$AI:$AI,Investment!$H:$H,LEFT($P619,30)&amp;"*"),),)</f>
        <v/>
      </c>
      <c r="P619" s="172"/>
      <c r="Q619" s="143"/>
      <c r="R619" s="259"/>
    </row>
    <row r="620">
      <c r="A620" s="165">
        <v>42919.0</v>
      </c>
      <c r="B620" s="55" t="s">
        <v>122</v>
      </c>
      <c r="C620" s="308" t="s">
        <v>125</v>
      </c>
      <c r="D620" s="55" t="s">
        <v>332</v>
      </c>
      <c r="E620" s="55">
        <v>122.0</v>
      </c>
      <c r="F620" s="169">
        <v>10.38</v>
      </c>
      <c r="G620" s="170">
        <v>-1266.54</v>
      </c>
      <c r="H620" s="314" t="s">
        <v>1059</v>
      </c>
      <c r="I620" s="171" t="str">
        <f t="shared" ref="I620:J620" si="625">IFS(AND($B620&lt;&gt;"",$E620&lt;&gt;""),IF(INDEX(N:N,MATCH($C620,$P:$P,0),1)&lt;&gt;"",$E620*INDEX(N:N,MATCH($C620,$P:$P,0),1)+$G620,""),AND($B620&lt;&gt;"",$D620="COST",$G620&lt;0),$G620,TRUE,)</f>
        <v/>
      </c>
      <c r="J620" s="171" t="str">
        <f t="shared" si="625"/>
        <v/>
      </c>
      <c r="K620" s="309" t="str">
        <f t="shared" si="3"/>
        <v>iShares Gold Trust</v>
      </c>
      <c r="L620" s="143">
        <f t="shared" si="4"/>
        <v>0</v>
      </c>
      <c r="M620" s="143">
        <f t="shared" si="5"/>
        <v>140.23</v>
      </c>
      <c r="N620" s="176" t="str">
        <f>IF($P620&lt;&gt;"",IF(MAXIFS(Investment!$M:$M,Investment!$H:$H,LEFT($P620,30)&amp;"*"),MAXIFS(Investment!$M:$M,Investment!$H:$H,LEFT($P620,30)&amp;"*"),),)</f>
        <v/>
      </c>
      <c r="O620" s="177" t="str">
        <f>IF($P620&lt;&gt;"",IF(MAXIFS(Investment!$AI:$AI,Investment!$H:$H,LEFT($P620,30)&amp;"*"),MAXIFS(Investment!$AI:$AI,Investment!$H:$H,LEFT($P620,30)&amp;"*"),),)</f>
        <v/>
      </c>
      <c r="P620" s="172"/>
      <c r="Q620" s="143"/>
      <c r="R620" s="259"/>
    </row>
    <row r="621">
      <c r="A621" s="165">
        <v>42919.0</v>
      </c>
      <c r="B621" s="55" t="s">
        <v>138</v>
      </c>
      <c r="C621" s="308" t="s">
        <v>141</v>
      </c>
      <c r="D621" s="55" t="s">
        <v>280</v>
      </c>
      <c r="E621" s="55">
        <v>-251.0</v>
      </c>
      <c r="F621" s="169">
        <v>109.93</v>
      </c>
      <c r="G621" s="170">
        <v>27592.74</v>
      </c>
      <c r="H621" s="314" t="s">
        <v>1060</v>
      </c>
      <c r="I621" s="171" t="str">
        <f t="shared" ref="I621:J621" si="626">IFS(AND($B621&lt;&gt;"",$E621&lt;&gt;""),IF(INDEX(N:N,MATCH($C621,$P:$P,0),1)&lt;&gt;"",$E621*INDEX(N:N,MATCH($C621,$P:$P,0),1)+$G621,""),AND($B621&lt;&gt;"",$D621="COST",$G621&lt;0),$G621,TRUE,)</f>
        <v/>
      </c>
      <c r="J621" s="171" t="str">
        <f t="shared" si="626"/>
        <v/>
      </c>
      <c r="K621" s="309" t="str">
        <f t="shared" si="3"/>
        <v>Vanguard Total Stock Market ETF</v>
      </c>
      <c r="L621" s="143">
        <f t="shared" si="4"/>
        <v>0</v>
      </c>
      <c r="M621" s="143">
        <f t="shared" si="5"/>
        <v>1880.34</v>
      </c>
      <c r="N621" s="176" t="str">
        <f>IF($P621&lt;&gt;"",IF(MAXIFS(Investment!$M:$M,Investment!$H:$H,LEFT($P621,30)&amp;"*"),MAXIFS(Investment!$M:$M,Investment!$H:$H,LEFT($P621,30)&amp;"*"),),)</f>
        <v/>
      </c>
      <c r="O621" s="177" t="str">
        <f>IF($P621&lt;&gt;"",IF(MAXIFS(Investment!$AI:$AI,Investment!$H:$H,LEFT($P621,30)&amp;"*"),MAXIFS(Investment!$AI:$AI,Investment!$H:$H,LEFT($P621,30)&amp;"*"),),)</f>
        <v/>
      </c>
      <c r="P621" s="172"/>
      <c r="Q621" s="143"/>
      <c r="R621" s="259"/>
    </row>
    <row r="622">
      <c r="A622" s="165">
        <v>42919.0</v>
      </c>
      <c r="B622" s="55" t="s">
        <v>134</v>
      </c>
      <c r="C622" s="308" t="s">
        <v>137</v>
      </c>
      <c r="D622" s="55" t="s">
        <v>332</v>
      </c>
      <c r="E622" s="55">
        <v>67.0</v>
      </c>
      <c r="F622" s="169">
        <v>103.88</v>
      </c>
      <c r="G622" s="170">
        <v>-6959.73</v>
      </c>
      <c r="H622" s="314" t="s">
        <v>1061</v>
      </c>
      <c r="I622" s="171" t="str">
        <f t="shared" ref="I622:J622" si="627">IFS(AND($B622&lt;&gt;"",$E622&lt;&gt;""),IF(INDEX(N:N,MATCH($C622,$P:$P,0),1)&lt;&gt;"",$E622*INDEX(N:N,MATCH($C622,$P:$P,0),1)+$G622,""),AND($B622&lt;&gt;"",$D622="COST",$G622&lt;0),$G622,TRUE,)</f>
        <v/>
      </c>
      <c r="J622" s="171" t="str">
        <f t="shared" si="627"/>
        <v/>
      </c>
      <c r="K622" s="309" t="str">
        <f t="shared" si="3"/>
        <v>Vanguard Extended Duration Treasury ETF</v>
      </c>
      <c r="L622" s="143">
        <f t="shared" si="4"/>
        <v>0</v>
      </c>
      <c r="M622" s="143">
        <f t="shared" si="5"/>
        <v>-4857.35</v>
      </c>
      <c r="N622" s="176" t="str">
        <f>IF($P622&lt;&gt;"",IF(MAXIFS(Investment!$M:$M,Investment!$H:$H,LEFT($P622,30)&amp;"*"),MAXIFS(Investment!$M:$M,Investment!$H:$H,LEFT($P622,30)&amp;"*"),),)</f>
        <v/>
      </c>
      <c r="O622" s="177" t="str">
        <f>IF($P622&lt;&gt;"",IF(MAXIFS(Investment!$AI:$AI,Investment!$H:$H,LEFT($P622,30)&amp;"*"),MAXIFS(Investment!$AI:$AI,Investment!$H:$H,LEFT($P622,30)&amp;"*"),),)</f>
        <v/>
      </c>
      <c r="P622" s="172"/>
      <c r="Q622" s="143"/>
      <c r="R622" s="259"/>
    </row>
    <row r="623">
      <c r="A623" s="165">
        <v>42916.0</v>
      </c>
      <c r="B623" s="166"/>
      <c r="C623" s="167"/>
      <c r="D623" s="168" t="s">
        <v>301</v>
      </c>
      <c r="E623" s="168"/>
      <c r="F623" s="169"/>
      <c r="G623" s="170">
        <v>-55.33</v>
      </c>
      <c r="H623" s="313" t="s">
        <v>1062</v>
      </c>
      <c r="I623" s="171" t="str">
        <f t="shared" ref="I623:J623" si="628">IFS(AND($B623&lt;&gt;"",$E623&lt;&gt;""),IF(INDEX(N:N,MATCH($C623,$P:$P,0),1)&lt;&gt;"",$E623*INDEX(N:N,MATCH($C623,$P:$P,0),1)+$G623,""),AND($B623&lt;&gt;"",$D623="COST",$G623&lt;0),$G623,TRUE,)</f>
        <v/>
      </c>
      <c r="J623" s="171" t="str">
        <f t="shared" si="628"/>
        <v/>
      </c>
      <c r="K623" s="309" t="str">
        <f t="shared" si="3"/>
        <v/>
      </c>
      <c r="L623" s="143" t="str">
        <f t="shared" si="4"/>
        <v/>
      </c>
      <c r="M623" s="143" t="str">
        <f t="shared" si="5"/>
        <v/>
      </c>
      <c r="N623" s="176" t="str">
        <f>IF($P623&lt;&gt;"",IF(MAXIFS(Investment!$M:$M,Investment!$H:$H,LEFT($P623,30)&amp;"*"),MAXIFS(Investment!$M:$M,Investment!$H:$H,LEFT($P623,30)&amp;"*"),),)</f>
        <v/>
      </c>
      <c r="O623" s="177" t="str">
        <f>IF($P623&lt;&gt;"",IF(MAXIFS(Investment!$AI:$AI,Investment!$H:$H,LEFT($P623,30)&amp;"*"),MAXIFS(Investment!$AI:$AI,Investment!$H:$H,LEFT($P623,30)&amp;"*"),),)</f>
        <v/>
      </c>
      <c r="P623" s="172"/>
      <c r="Q623" s="143"/>
      <c r="R623" s="259"/>
    </row>
    <row r="624">
      <c r="A624" s="165">
        <v>42914.0</v>
      </c>
      <c r="B624" s="166" t="s">
        <v>138</v>
      </c>
      <c r="C624" s="167" t="s">
        <v>141</v>
      </c>
      <c r="D624" s="168" t="s">
        <v>307</v>
      </c>
      <c r="E624" s="168"/>
      <c r="F624" s="169"/>
      <c r="G624" s="170">
        <v>-14.95</v>
      </c>
      <c r="H624" s="313" t="s">
        <v>1063</v>
      </c>
      <c r="I624" s="171" t="str">
        <f t="shared" ref="I624:J624" si="629">IFS(AND($B624&lt;&gt;"",$E624&lt;&gt;""),IF(INDEX(N:N,MATCH($C624,$P:$P,0),1)&lt;&gt;"",$E624*INDEX(N:N,MATCH($C624,$P:$P,0),1)+$G624,""),AND($B624&lt;&gt;"",$D624="COST",$G624&lt;0),$G624,TRUE,)</f>
        <v/>
      </c>
      <c r="J624" s="171" t="str">
        <f t="shared" si="629"/>
        <v/>
      </c>
      <c r="K624" s="309" t="str">
        <f t="shared" si="3"/>
        <v>Vanguard Total Stock Market ETF</v>
      </c>
      <c r="L624" s="143">
        <f t="shared" si="4"/>
        <v>0</v>
      </c>
      <c r="M624" s="143">
        <f t="shared" si="5"/>
        <v>1880.34</v>
      </c>
      <c r="N624" s="176" t="str">
        <f>IF($P624&lt;&gt;"",IF(MAXIFS(Investment!$M:$M,Investment!$H:$H,LEFT($P624,30)&amp;"*"),MAXIFS(Investment!$M:$M,Investment!$H:$H,LEFT($P624,30)&amp;"*"),),)</f>
        <v/>
      </c>
      <c r="O624" s="177" t="str">
        <f>IF($P624&lt;&gt;"",IF(MAXIFS(Investment!$AI:$AI,Investment!$H:$H,LEFT($P624,30)&amp;"*"),MAXIFS(Investment!$AI:$AI,Investment!$H:$H,LEFT($P624,30)&amp;"*"),),)</f>
        <v/>
      </c>
      <c r="P624" s="172"/>
      <c r="Q624" s="143"/>
      <c r="R624" s="259"/>
    </row>
    <row r="625">
      <c r="A625" s="165">
        <v>42913.0</v>
      </c>
      <c r="B625" s="166" t="s">
        <v>138</v>
      </c>
      <c r="C625" s="167" t="s">
        <v>141</v>
      </c>
      <c r="D625" s="168" t="s">
        <v>307</v>
      </c>
      <c r="E625" s="168"/>
      <c r="F625" s="169"/>
      <c r="G625" s="170">
        <v>122.68</v>
      </c>
      <c r="H625" s="313" t="s">
        <v>1064</v>
      </c>
      <c r="I625" s="171" t="str">
        <f t="shared" ref="I625:J625" si="630">IFS(AND($B625&lt;&gt;"",$E625&lt;&gt;""),IF(INDEX(N:N,MATCH($C625,$P:$P,0),1)&lt;&gt;"",$E625*INDEX(N:N,MATCH($C625,$P:$P,0),1)+$G625,""),AND($B625&lt;&gt;"",$D625="COST",$G625&lt;0),$G625,TRUE,)</f>
        <v/>
      </c>
      <c r="J625" s="171" t="str">
        <f t="shared" si="630"/>
        <v/>
      </c>
      <c r="K625" s="309" t="str">
        <f t="shared" si="3"/>
        <v>Vanguard Total Stock Market ETF</v>
      </c>
      <c r="L625" s="143">
        <f t="shared" si="4"/>
        <v>0</v>
      </c>
      <c r="M625" s="143">
        <f t="shared" si="5"/>
        <v>1880.34</v>
      </c>
      <c r="N625" s="176" t="str">
        <f>IF($P625&lt;&gt;"",IF(MAXIFS(Investment!$M:$M,Investment!$H:$H,LEFT($P625,30)&amp;"*"),MAXIFS(Investment!$M:$M,Investment!$H:$H,LEFT($P625,30)&amp;"*"),),)</f>
        <v/>
      </c>
      <c r="O625" s="177" t="str">
        <f>IF($P625&lt;&gt;"",IF(MAXIFS(Investment!$AI:$AI,Investment!$H:$H,LEFT($P625,30)&amp;"*"),MAXIFS(Investment!$AI:$AI,Investment!$H:$H,LEFT($P625,30)&amp;"*"),),)</f>
        <v/>
      </c>
      <c r="P625" s="172"/>
      <c r="Q625" s="143"/>
      <c r="R625" s="259"/>
    </row>
    <row r="626">
      <c r="A626" s="165">
        <v>42901.0</v>
      </c>
      <c r="B626" s="55" t="s">
        <v>118</v>
      </c>
      <c r="C626" s="308" t="s">
        <v>119</v>
      </c>
      <c r="D626" s="55" t="s">
        <v>332</v>
      </c>
      <c r="E626" s="55">
        <v>111.0</v>
      </c>
      <c r="F626" s="169">
        <v>18.09</v>
      </c>
      <c r="G626" s="170">
        <v>-2007.99</v>
      </c>
      <c r="H626" s="314" t="s">
        <v>1065</v>
      </c>
      <c r="I626" s="171" t="str">
        <f t="shared" ref="I626:J626" si="631">IFS(AND($B626&lt;&gt;"",$E626&lt;&gt;""),IF(INDEX(N:N,MATCH($C626,$P:$P,0),1)&lt;&gt;"",$E626*INDEX(N:N,MATCH($C626,$P:$P,0),1)+$G626,""),AND($B626&lt;&gt;"",$D626="COST",$G626&lt;0),$G626,TRUE,)</f>
        <v/>
      </c>
      <c r="J626" s="171" t="str">
        <f t="shared" si="631"/>
        <v/>
      </c>
      <c r="K626" s="309" t="str">
        <f t="shared" si="3"/>
        <v>iShares Diversified Commodity Swap UCITS ETF DE</v>
      </c>
      <c r="L626" s="143">
        <f t="shared" si="4"/>
        <v>0</v>
      </c>
      <c r="M626" s="143">
        <f t="shared" si="5"/>
        <v>-296.42</v>
      </c>
      <c r="N626" s="176" t="str">
        <f>IF($P626&lt;&gt;"",IF(MAXIFS(Investment!$M:$M,Investment!$H:$H,LEFT($P626,30)&amp;"*"),MAXIFS(Investment!$M:$M,Investment!$H:$H,LEFT($P626,30)&amp;"*"),),)</f>
        <v/>
      </c>
      <c r="O626" s="177" t="str">
        <f>IF($P626&lt;&gt;"",IF(MAXIFS(Investment!$AI:$AI,Investment!$H:$H,LEFT($P626,30)&amp;"*"),MAXIFS(Investment!$AI:$AI,Investment!$H:$H,LEFT($P626,30)&amp;"*"),),)</f>
        <v/>
      </c>
      <c r="P626" s="172"/>
      <c r="Q626" s="143"/>
      <c r="R626" s="259"/>
    </row>
    <row r="627">
      <c r="A627" s="165">
        <v>42901.0</v>
      </c>
      <c r="B627" s="55" t="s">
        <v>138</v>
      </c>
      <c r="C627" s="308" t="s">
        <v>141</v>
      </c>
      <c r="D627" s="55" t="s">
        <v>332</v>
      </c>
      <c r="E627" s="55">
        <v>60.0</v>
      </c>
      <c r="F627" s="169">
        <v>112.018</v>
      </c>
      <c r="G627" s="170">
        <v>-6721.09</v>
      </c>
      <c r="H627" s="314" t="s">
        <v>1066</v>
      </c>
      <c r="I627" s="171" t="str">
        <f t="shared" ref="I627:J627" si="632">IFS(AND($B627&lt;&gt;"",$E627&lt;&gt;""),IF(INDEX(N:N,MATCH($C627,$P:$P,0),1)&lt;&gt;"",$E627*INDEX(N:N,MATCH($C627,$P:$P,0),1)+$G627,""),AND($B627&lt;&gt;"",$D627="COST",$G627&lt;0),$G627,TRUE,)</f>
        <v/>
      </c>
      <c r="J627" s="171" t="str">
        <f t="shared" si="632"/>
        <v/>
      </c>
      <c r="K627" s="309" t="str">
        <f t="shared" si="3"/>
        <v>Vanguard Total Stock Market ETF</v>
      </c>
      <c r="L627" s="143">
        <f t="shared" si="4"/>
        <v>0</v>
      </c>
      <c r="M627" s="143">
        <f t="shared" si="5"/>
        <v>1880.34</v>
      </c>
      <c r="N627" s="176" t="str">
        <f>IF($P627&lt;&gt;"",IF(MAXIFS(Investment!$M:$M,Investment!$H:$H,LEFT($P627,30)&amp;"*"),MAXIFS(Investment!$M:$M,Investment!$H:$H,LEFT($P627,30)&amp;"*"),),)</f>
        <v/>
      </c>
      <c r="O627" s="177" t="str">
        <f>IF($P627&lt;&gt;"",IF(MAXIFS(Investment!$AI:$AI,Investment!$H:$H,LEFT($P627,30)&amp;"*"),MAXIFS(Investment!$AI:$AI,Investment!$H:$H,LEFT($P627,30)&amp;"*"),),)</f>
        <v/>
      </c>
      <c r="P627" s="172"/>
      <c r="Q627" s="143"/>
      <c r="R627" s="259"/>
    </row>
    <row r="628">
      <c r="A628" s="165">
        <v>42901.0</v>
      </c>
      <c r="B628" s="55" t="s">
        <v>127</v>
      </c>
      <c r="C628" s="308" t="s">
        <v>130</v>
      </c>
      <c r="D628" s="55" t="s">
        <v>332</v>
      </c>
      <c r="E628" s="55">
        <v>36.0</v>
      </c>
      <c r="F628" s="169">
        <v>96.68</v>
      </c>
      <c r="G628" s="170">
        <v>-3480.61</v>
      </c>
      <c r="H628" s="314" t="s">
        <v>1067</v>
      </c>
      <c r="I628" s="171" t="str">
        <f t="shared" ref="I628:J628" si="633">IFS(AND($B628&lt;&gt;"",$E628&lt;&gt;""),IF(INDEX(N:N,MATCH($C628,$P:$P,0),1)&lt;&gt;"",$E628*INDEX(N:N,MATCH($C628,$P:$P,0),1)+$G628,""),AND($B628&lt;&gt;"",$D628="COST",$G628&lt;0),$G628,TRUE,)</f>
        <v/>
      </c>
      <c r="J628" s="171" t="str">
        <f t="shared" si="633"/>
        <v/>
      </c>
      <c r="K628" s="309" t="str">
        <f t="shared" si="3"/>
        <v>iShares 7-10 Year Treasury Bond ETF</v>
      </c>
      <c r="L628" s="143">
        <f t="shared" si="4"/>
        <v>0</v>
      </c>
      <c r="M628" s="143">
        <f t="shared" si="5"/>
        <v>-345.82</v>
      </c>
      <c r="N628" s="176" t="str">
        <f>IF($P628&lt;&gt;"",IF(MAXIFS(Investment!$M:$M,Investment!$H:$H,LEFT($P628,30)&amp;"*"),MAXIFS(Investment!$M:$M,Investment!$H:$H,LEFT($P628,30)&amp;"*"),),)</f>
        <v/>
      </c>
      <c r="O628" s="177" t="str">
        <f>IF($P628&lt;&gt;"",IF(MAXIFS(Investment!$AI:$AI,Investment!$H:$H,LEFT($P628,30)&amp;"*"),MAXIFS(Investment!$AI:$AI,Investment!$H:$H,LEFT($P628,30)&amp;"*"),),)</f>
        <v/>
      </c>
      <c r="P628" s="172"/>
      <c r="Q628" s="143"/>
      <c r="R628" s="259"/>
    </row>
    <row r="629">
      <c r="A629" s="165">
        <v>42901.0</v>
      </c>
      <c r="B629" s="55" t="s">
        <v>134</v>
      </c>
      <c r="C629" s="308" t="s">
        <v>137</v>
      </c>
      <c r="D629" s="55" t="s">
        <v>332</v>
      </c>
      <c r="E629" s="55">
        <v>66.0</v>
      </c>
      <c r="F629" s="169">
        <v>107.07</v>
      </c>
      <c r="G629" s="170">
        <v>-7066.71</v>
      </c>
      <c r="H629" s="314" t="s">
        <v>1068</v>
      </c>
      <c r="I629" s="171" t="str">
        <f t="shared" ref="I629:J629" si="634">IFS(AND($B629&lt;&gt;"",$E629&lt;&gt;""),IF(INDEX(N:N,MATCH($C629,$P:$P,0),1)&lt;&gt;"",$E629*INDEX(N:N,MATCH($C629,$P:$P,0),1)+$G629,""),AND($B629&lt;&gt;"",$D629="COST",$G629&lt;0),$G629,TRUE,)</f>
        <v/>
      </c>
      <c r="J629" s="171" t="str">
        <f t="shared" si="634"/>
        <v/>
      </c>
      <c r="K629" s="309" t="str">
        <f t="shared" si="3"/>
        <v>Vanguard Extended Duration Treasury ETF</v>
      </c>
      <c r="L629" s="143">
        <f t="shared" si="4"/>
        <v>0</v>
      </c>
      <c r="M629" s="143">
        <f t="shared" si="5"/>
        <v>-4857.35</v>
      </c>
      <c r="N629" s="176" t="str">
        <f>IF($P629&lt;&gt;"",IF(MAXIFS(Investment!$M:$M,Investment!$H:$H,LEFT($P629,30)&amp;"*"),MAXIFS(Investment!$M:$M,Investment!$H:$H,LEFT($P629,30)&amp;"*"),),)</f>
        <v/>
      </c>
      <c r="O629" s="177" t="str">
        <f>IF($P629&lt;&gt;"",IF(MAXIFS(Investment!$AI:$AI,Investment!$H:$H,LEFT($P629,30)&amp;"*"),MAXIFS(Investment!$AI:$AI,Investment!$H:$H,LEFT($P629,30)&amp;"*"),),)</f>
        <v/>
      </c>
      <c r="P629" s="172"/>
      <c r="Q629" s="143"/>
      <c r="R629" s="259"/>
    </row>
    <row r="630">
      <c r="A630" s="165">
        <v>42901.0</v>
      </c>
      <c r="B630" s="55" t="s">
        <v>122</v>
      </c>
      <c r="C630" s="308" t="s">
        <v>125</v>
      </c>
      <c r="D630" s="55" t="s">
        <v>332</v>
      </c>
      <c r="E630" s="55">
        <v>167.0</v>
      </c>
      <c r="F630" s="169">
        <v>10.83</v>
      </c>
      <c r="G630" s="170">
        <v>-1808.18</v>
      </c>
      <c r="H630" s="314" t="s">
        <v>1069</v>
      </c>
      <c r="I630" s="171" t="str">
        <f t="shared" ref="I630:J630" si="635">IFS(AND($B630&lt;&gt;"",$E630&lt;&gt;""),IF(INDEX(N:N,MATCH($C630,$P:$P,0),1)&lt;&gt;"",$E630*INDEX(N:N,MATCH($C630,$P:$P,0),1)+$G630,""),AND($B630&lt;&gt;"",$D630="COST",$G630&lt;0),$G630,TRUE,)</f>
        <v/>
      </c>
      <c r="J630" s="171" t="str">
        <f t="shared" si="635"/>
        <v/>
      </c>
      <c r="K630" s="309" t="str">
        <f t="shared" si="3"/>
        <v>iShares Gold Trust</v>
      </c>
      <c r="L630" s="143">
        <f t="shared" si="4"/>
        <v>0</v>
      </c>
      <c r="M630" s="143">
        <f t="shared" si="5"/>
        <v>140.23</v>
      </c>
      <c r="N630" s="176" t="str">
        <f>IF($P630&lt;&gt;"",IF(MAXIFS(Investment!$M:$M,Investment!$H:$H,LEFT($P630,30)&amp;"*"),MAXIFS(Investment!$M:$M,Investment!$H:$H,LEFT($P630,30)&amp;"*"),),)</f>
        <v/>
      </c>
      <c r="O630" s="177" t="str">
        <f>IF($P630&lt;&gt;"",IF(MAXIFS(Investment!$AI:$AI,Investment!$H:$H,LEFT($P630,30)&amp;"*"),MAXIFS(Investment!$AI:$AI,Investment!$H:$H,LEFT($P630,30)&amp;"*"),),)</f>
        <v/>
      </c>
      <c r="P630" s="172"/>
      <c r="Q630" s="143"/>
      <c r="R630" s="259"/>
    </row>
    <row r="631">
      <c r="A631" s="165">
        <v>42894.0</v>
      </c>
      <c r="B631" s="166" t="s">
        <v>127</v>
      </c>
      <c r="C631" s="167" t="s">
        <v>130</v>
      </c>
      <c r="D631" s="168" t="s">
        <v>307</v>
      </c>
      <c r="E631" s="168"/>
      <c r="F631" s="169"/>
      <c r="G631" s="170">
        <v>-1.66</v>
      </c>
      <c r="H631" s="313" t="s">
        <v>1070</v>
      </c>
      <c r="I631" s="171" t="str">
        <f t="shared" ref="I631:J631" si="636">IFS(AND($B631&lt;&gt;"",$E631&lt;&gt;""),IF(INDEX(N:N,MATCH($C631,$P:$P,0),1)&lt;&gt;"",$E631*INDEX(N:N,MATCH($C631,$P:$P,0),1)+$G631,""),AND($B631&lt;&gt;"",$D631="COST",$G631&lt;0),$G631,TRUE,)</f>
        <v/>
      </c>
      <c r="J631" s="171" t="str">
        <f t="shared" si="636"/>
        <v/>
      </c>
      <c r="K631" s="309" t="str">
        <f t="shared" si="3"/>
        <v>iShares 7-10 Year Treasury Bond ETF</v>
      </c>
      <c r="L631" s="143">
        <f t="shared" si="4"/>
        <v>0</v>
      </c>
      <c r="M631" s="143">
        <f t="shared" si="5"/>
        <v>-345.82</v>
      </c>
      <c r="N631" s="176" t="str">
        <f>IF($P631&lt;&gt;"",IF(MAXIFS(Investment!$M:$M,Investment!$H:$H,LEFT($P631,30)&amp;"*"),MAXIFS(Investment!$M:$M,Investment!$H:$H,LEFT($P631,30)&amp;"*"),),)</f>
        <v/>
      </c>
      <c r="O631" s="177" t="str">
        <f>IF($P631&lt;&gt;"",IF(MAXIFS(Investment!$AI:$AI,Investment!$H:$H,LEFT($P631,30)&amp;"*"),MAXIFS(Investment!$AI:$AI,Investment!$H:$H,LEFT($P631,30)&amp;"*"),),)</f>
        <v/>
      </c>
      <c r="P631" s="172"/>
      <c r="Q631" s="143"/>
      <c r="R631" s="259"/>
    </row>
    <row r="632">
      <c r="A632" s="165">
        <v>42893.0</v>
      </c>
      <c r="B632" s="166" t="s">
        <v>127</v>
      </c>
      <c r="C632" s="167" t="s">
        <v>130</v>
      </c>
      <c r="D632" s="168" t="s">
        <v>307</v>
      </c>
      <c r="E632" s="168"/>
      <c r="F632" s="169"/>
      <c r="G632" s="170">
        <v>15.3</v>
      </c>
      <c r="H632" s="313" t="s">
        <v>1071</v>
      </c>
      <c r="I632" s="171" t="str">
        <f t="shared" ref="I632:J632" si="637">IFS(AND($B632&lt;&gt;"",$E632&lt;&gt;""),IF(INDEX(N:N,MATCH($C632,$P:$P,0),1)&lt;&gt;"",$E632*INDEX(N:N,MATCH($C632,$P:$P,0),1)+$G632,""),AND($B632&lt;&gt;"",$D632="COST",$G632&lt;0),$G632,TRUE,)</f>
        <v/>
      </c>
      <c r="J632" s="171" t="str">
        <f t="shared" si="637"/>
        <v/>
      </c>
      <c r="K632" s="309" t="str">
        <f t="shared" si="3"/>
        <v>iShares 7-10 Year Treasury Bond ETF</v>
      </c>
      <c r="L632" s="143">
        <f t="shared" si="4"/>
        <v>0</v>
      </c>
      <c r="M632" s="143">
        <f t="shared" si="5"/>
        <v>-345.82</v>
      </c>
      <c r="N632" s="176" t="str">
        <f>IF($P632&lt;&gt;"",IF(MAXIFS(Investment!$M:$M,Investment!$H:$H,LEFT($P632,30)&amp;"*"),MAXIFS(Investment!$M:$M,Investment!$H:$H,LEFT($P632,30)&amp;"*"),),)</f>
        <v/>
      </c>
      <c r="O632" s="177" t="str">
        <f>IF($P632&lt;&gt;"",IF(MAXIFS(Investment!$AI:$AI,Investment!$H:$H,LEFT($P632,30)&amp;"*"),MAXIFS(Investment!$AI:$AI,Investment!$H:$H,LEFT($P632,30)&amp;"*"),),)</f>
        <v/>
      </c>
      <c r="P632" s="172"/>
      <c r="Q632" s="143"/>
      <c r="R632" s="259"/>
    </row>
    <row r="633">
      <c r="A633" s="165">
        <v>42886.0</v>
      </c>
      <c r="B633" s="166"/>
      <c r="C633" s="167"/>
      <c r="D633" s="168" t="s">
        <v>301</v>
      </c>
      <c r="E633" s="168"/>
      <c r="F633" s="169"/>
      <c r="G633" s="170">
        <v>-5.0</v>
      </c>
      <c r="H633" s="313" t="s">
        <v>743</v>
      </c>
      <c r="I633" s="171" t="str">
        <f t="shared" ref="I633:J633" si="638">IFS(AND($B633&lt;&gt;"",$E633&lt;&gt;""),IF(INDEX(N:N,MATCH($C633,$P:$P,0),1)&lt;&gt;"",$E633*INDEX(N:N,MATCH($C633,$P:$P,0),1)+$G633,""),AND($B633&lt;&gt;"",$D633="COST",$G633&lt;0),$G633,TRUE,)</f>
        <v/>
      </c>
      <c r="J633" s="171" t="str">
        <f t="shared" si="638"/>
        <v/>
      </c>
      <c r="K633" s="309" t="str">
        <f t="shared" si="3"/>
        <v/>
      </c>
      <c r="L633" s="143" t="str">
        <f t="shared" si="4"/>
        <v/>
      </c>
      <c r="M633" s="143" t="str">
        <f t="shared" si="5"/>
        <v/>
      </c>
      <c r="N633" s="176" t="str">
        <f>IF($P633&lt;&gt;"",IF(MAXIFS(Investment!$M:$M,Investment!$H:$H,LEFT($P633,30)&amp;"*"),MAXIFS(Investment!$M:$M,Investment!$H:$H,LEFT($P633,30)&amp;"*"),),)</f>
        <v/>
      </c>
      <c r="O633" s="177" t="str">
        <f>IF($P633&lt;&gt;"",IF(MAXIFS(Investment!$AI:$AI,Investment!$H:$H,LEFT($P633,30)&amp;"*"),MAXIFS(Investment!$AI:$AI,Investment!$H:$H,LEFT($P633,30)&amp;"*"),),)</f>
        <v/>
      </c>
      <c r="P633" s="172"/>
      <c r="Q633" s="143"/>
      <c r="R633" s="259"/>
    </row>
    <row r="634">
      <c r="A634" s="165">
        <v>42886.0</v>
      </c>
      <c r="B634" s="166"/>
      <c r="C634" s="167"/>
      <c r="D634" s="168" t="s">
        <v>301</v>
      </c>
      <c r="E634" s="168"/>
      <c r="F634" s="169"/>
      <c r="G634" s="170">
        <v>-30.68</v>
      </c>
      <c r="H634" s="313" t="s">
        <v>1072</v>
      </c>
      <c r="I634" s="171" t="str">
        <f t="shared" ref="I634:J634" si="639">IFS(AND($B634&lt;&gt;"",$E634&lt;&gt;""),IF(INDEX(N:N,MATCH($C634,$P:$P,0),1)&lt;&gt;"",$E634*INDEX(N:N,MATCH($C634,$P:$P,0),1)+$G634,""),AND($B634&lt;&gt;"",$D634="COST",$G634&lt;0),$G634,TRUE,)</f>
        <v/>
      </c>
      <c r="J634" s="171" t="str">
        <f t="shared" si="639"/>
        <v/>
      </c>
      <c r="K634" s="309" t="str">
        <f t="shared" si="3"/>
        <v/>
      </c>
      <c r="L634" s="143" t="str">
        <f t="shared" si="4"/>
        <v/>
      </c>
      <c r="M634" s="143" t="str">
        <f t="shared" si="5"/>
        <v/>
      </c>
      <c r="N634" s="176" t="str">
        <f>IF($P634&lt;&gt;"",IF(MAXIFS(Investment!$M:$M,Investment!$H:$H,LEFT($P634,30)&amp;"*"),MAXIFS(Investment!$M:$M,Investment!$H:$H,LEFT($P634,30)&amp;"*"),),)</f>
        <v/>
      </c>
      <c r="O634" s="177" t="str">
        <f>IF($P634&lt;&gt;"",IF(MAXIFS(Investment!$AI:$AI,Investment!$H:$H,LEFT($P634,30)&amp;"*"),MAXIFS(Investment!$AI:$AI,Investment!$H:$H,LEFT($P634,30)&amp;"*"),),)</f>
        <v/>
      </c>
      <c r="P634" s="172"/>
      <c r="Q634" s="143"/>
      <c r="R634" s="259"/>
    </row>
    <row r="635">
      <c r="A635" s="165">
        <v>42871.0</v>
      </c>
      <c r="B635" s="55" t="s">
        <v>134</v>
      </c>
      <c r="C635" s="308" t="s">
        <v>137</v>
      </c>
      <c r="D635" s="55" t="s">
        <v>332</v>
      </c>
      <c r="E635" s="55">
        <v>10.0</v>
      </c>
      <c r="F635" s="169">
        <v>101.508</v>
      </c>
      <c r="G635" s="170">
        <v>-1015.08</v>
      </c>
      <c r="H635" s="314" t="s">
        <v>1073</v>
      </c>
      <c r="I635" s="171" t="str">
        <f t="shared" ref="I635:J635" si="640">IFS(AND($B635&lt;&gt;"",$E635&lt;&gt;""),IF(INDEX(N:N,MATCH($C635,$P:$P,0),1)&lt;&gt;"",$E635*INDEX(N:N,MATCH($C635,$P:$P,0),1)+$G635,""),AND($B635&lt;&gt;"",$D635="COST",$G635&lt;0),$G635,TRUE,)</f>
        <v/>
      </c>
      <c r="J635" s="171" t="str">
        <f t="shared" si="640"/>
        <v/>
      </c>
      <c r="K635" s="309" t="str">
        <f t="shared" si="3"/>
        <v>Vanguard Extended Duration Treasury ETF</v>
      </c>
      <c r="L635" s="143">
        <f t="shared" si="4"/>
        <v>0</v>
      </c>
      <c r="M635" s="143">
        <f t="shared" si="5"/>
        <v>-4857.35</v>
      </c>
      <c r="N635" s="176" t="str">
        <f>IF($P635&lt;&gt;"",IF(MAXIFS(Investment!$M:$M,Investment!$H:$H,LEFT($P635,30)&amp;"*"),MAXIFS(Investment!$M:$M,Investment!$H:$H,LEFT($P635,30)&amp;"*"),),)</f>
        <v/>
      </c>
      <c r="O635" s="177" t="str">
        <f>IF($P635&lt;&gt;"",IF(MAXIFS(Investment!$AI:$AI,Investment!$H:$H,LEFT($P635,30)&amp;"*"),MAXIFS(Investment!$AI:$AI,Investment!$H:$H,LEFT($P635,30)&amp;"*"),),)</f>
        <v/>
      </c>
      <c r="P635" s="172"/>
      <c r="Q635" s="143"/>
      <c r="R635" s="259"/>
    </row>
    <row r="636">
      <c r="A636" s="165">
        <v>42870.0</v>
      </c>
      <c r="B636" s="166"/>
      <c r="C636" s="167"/>
      <c r="D636" s="168" t="s">
        <v>299</v>
      </c>
      <c r="E636" s="168"/>
      <c r="F636" s="169"/>
      <c r="G636" s="170">
        <v>30.0</v>
      </c>
      <c r="H636" s="313" t="s">
        <v>1074</v>
      </c>
      <c r="I636" s="171" t="str">
        <f t="shared" ref="I636:J636" si="641">IFS(AND($B636&lt;&gt;"",$E636&lt;&gt;""),IF(INDEX(N:N,MATCH($C636,$P:$P,0),1)&lt;&gt;"",$E636*INDEX(N:N,MATCH($C636,$P:$P,0),1)+$G636,""),AND($B636&lt;&gt;"",$D636="COST",$G636&lt;0),$G636,TRUE,)</f>
        <v/>
      </c>
      <c r="J636" s="171" t="str">
        <f t="shared" si="641"/>
        <v/>
      </c>
      <c r="K636" s="309" t="str">
        <f t="shared" si="3"/>
        <v/>
      </c>
      <c r="L636" s="143" t="str">
        <f t="shared" si="4"/>
        <v/>
      </c>
      <c r="M636" s="143" t="str">
        <f t="shared" si="5"/>
        <v/>
      </c>
      <c r="N636" s="176" t="str">
        <f>IF($P636&lt;&gt;"",IF(MAXIFS(Investment!$M:$M,Investment!$H:$H,LEFT($P636,30)&amp;"*"),MAXIFS(Investment!$M:$M,Investment!$H:$H,LEFT($P636,30)&amp;"*"),),)</f>
        <v/>
      </c>
      <c r="O636" s="177" t="str">
        <f>IF($P636&lt;&gt;"",IF(MAXIFS(Investment!$AI:$AI,Investment!$H:$H,LEFT($P636,30)&amp;"*"),MAXIFS(Investment!$AI:$AI,Investment!$H:$H,LEFT($P636,30)&amp;"*"),),)</f>
        <v/>
      </c>
      <c r="P636" s="172"/>
      <c r="Q636" s="143"/>
      <c r="R636" s="259"/>
    </row>
    <row r="637">
      <c r="A637" s="165">
        <v>42866.0</v>
      </c>
      <c r="B637" s="166"/>
      <c r="C637" s="167"/>
      <c r="D637" s="168" t="s">
        <v>299</v>
      </c>
      <c r="E637" s="168"/>
      <c r="F637" s="169"/>
      <c r="G637" s="170">
        <v>500.0</v>
      </c>
      <c r="H637" s="313" t="s">
        <v>1075</v>
      </c>
      <c r="I637" s="171" t="str">
        <f t="shared" ref="I637:J637" si="642">IFS(AND($B637&lt;&gt;"",$E637&lt;&gt;""),IF(INDEX(N:N,MATCH($C637,$P:$P,0),1)&lt;&gt;"",$E637*INDEX(N:N,MATCH($C637,$P:$P,0),1)+$G637,""),AND($B637&lt;&gt;"",$D637="COST",$G637&lt;0),$G637,TRUE,)</f>
        <v/>
      </c>
      <c r="J637" s="171" t="str">
        <f t="shared" si="642"/>
        <v/>
      </c>
      <c r="K637" s="309" t="str">
        <f t="shared" si="3"/>
        <v/>
      </c>
      <c r="L637" s="143" t="str">
        <f t="shared" si="4"/>
        <v/>
      </c>
      <c r="M637" s="143" t="str">
        <f t="shared" si="5"/>
        <v/>
      </c>
      <c r="N637" s="176" t="str">
        <f>IF($P637&lt;&gt;"",IF(MAXIFS(Investment!$M:$M,Investment!$H:$H,LEFT($P637,30)&amp;"*"),MAXIFS(Investment!$M:$M,Investment!$H:$H,LEFT($P637,30)&amp;"*"),),)</f>
        <v/>
      </c>
      <c r="O637" s="177" t="str">
        <f>IF($P637&lt;&gt;"",IF(MAXIFS(Investment!$AI:$AI,Investment!$H:$H,LEFT($P637,30)&amp;"*"),MAXIFS(Investment!$AI:$AI,Investment!$H:$H,LEFT($P637,30)&amp;"*"),),)</f>
        <v/>
      </c>
      <c r="P637" s="172"/>
      <c r="Q637" s="143"/>
      <c r="R637" s="259"/>
    </row>
    <row r="638">
      <c r="A638" s="165">
        <v>42864.0</v>
      </c>
      <c r="B638" s="166"/>
      <c r="C638" s="167"/>
      <c r="D638" s="168" t="s">
        <v>299</v>
      </c>
      <c r="E638" s="168"/>
      <c r="F638" s="169"/>
      <c r="G638" s="170">
        <v>500.0</v>
      </c>
      <c r="H638" s="313" t="s">
        <v>1075</v>
      </c>
      <c r="I638" s="171" t="str">
        <f t="shared" ref="I638:J638" si="643">IFS(AND($B638&lt;&gt;"",$E638&lt;&gt;""),IF(INDEX(N:N,MATCH($C638,$P:$P,0),1)&lt;&gt;"",$E638*INDEX(N:N,MATCH($C638,$P:$P,0),1)+$G638,""),AND($B638&lt;&gt;"",$D638="COST",$G638&lt;0),$G638,TRUE,)</f>
        <v/>
      </c>
      <c r="J638" s="171" t="str">
        <f t="shared" si="643"/>
        <v/>
      </c>
      <c r="K638" s="309" t="str">
        <f t="shared" si="3"/>
        <v/>
      </c>
      <c r="L638" s="143" t="str">
        <f t="shared" si="4"/>
        <v/>
      </c>
      <c r="M638" s="143" t="str">
        <f t="shared" si="5"/>
        <v/>
      </c>
      <c r="N638" s="176" t="str">
        <f>IF($P638&lt;&gt;"",IF(MAXIFS(Investment!$M:$M,Investment!$H:$H,LEFT($P638,30)&amp;"*"),MAXIFS(Investment!$M:$M,Investment!$H:$H,LEFT($P638,30)&amp;"*"),),)</f>
        <v/>
      </c>
      <c r="O638" s="177" t="str">
        <f>IF($P638&lt;&gt;"",IF(MAXIFS(Investment!$AI:$AI,Investment!$H:$H,LEFT($P638,30)&amp;"*"),MAXIFS(Investment!$AI:$AI,Investment!$H:$H,LEFT($P638,30)&amp;"*"),),)</f>
        <v/>
      </c>
      <c r="P638" s="310"/>
      <c r="R638" s="52"/>
    </row>
    <row r="639">
      <c r="A639" s="165">
        <v>42858.0</v>
      </c>
      <c r="B639" s="55" t="s">
        <v>118</v>
      </c>
      <c r="C639" s="308" t="s">
        <v>119</v>
      </c>
      <c r="D639" s="55" t="s">
        <v>332</v>
      </c>
      <c r="E639" s="55">
        <v>98.0</v>
      </c>
      <c r="F639" s="169">
        <v>19.25</v>
      </c>
      <c r="G639" s="170">
        <v>-1886.5</v>
      </c>
      <c r="H639" s="314" t="s">
        <v>1076</v>
      </c>
      <c r="I639" s="171" t="str">
        <f t="shared" ref="I639:J639" si="644">IFS(AND($B639&lt;&gt;"",$E639&lt;&gt;""),IF(INDEX(N:N,MATCH($C639,$P:$P,0),1)&lt;&gt;"",$E639*INDEX(N:N,MATCH($C639,$P:$P,0),1)+$G639,""),AND($B639&lt;&gt;"",$D639="COST",$G639&lt;0),$G639,TRUE,)</f>
        <v/>
      </c>
      <c r="J639" s="171" t="str">
        <f t="shared" si="644"/>
        <v/>
      </c>
      <c r="K639" s="309" t="str">
        <f t="shared" si="3"/>
        <v>iShares Diversified Commodity Swap UCITS ETF DE</v>
      </c>
      <c r="L639" s="143">
        <f t="shared" si="4"/>
        <v>0</v>
      </c>
      <c r="M639" s="143">
        <f t="shared" si="5"/>
        <v>-296.42</v>
      </c>
      <c r="N639" s="176" t="str">
        <f>IF($P639&lt;&gt;"",IF(MAXIFS(Investment!$M:$M,Investment!$H:$H,LEFT($P639,30)&amp;"*"),MAXIFS(Investment!$M:$M,Investment!$H:$H,LEFT($P639,30)&amp;"*"),),)</f>
        <v/>
      </c>
      <c r="O639" s="177" t="str">
        <f>IF($P639&lt;&gt;"",IF(MAXIFS(Investment!$AI:$AI,Investment!$H:$H,LEFT($P639,30)&amp;"*"),MAXIFS(Investment!$AI:$AI,Investment!$H:$H,LEFT($P639,30)&amp;"*"),),)</f>
        <v/>
      </c>
      <c r="P639" s="172"/>
      <c r="Q639" s="143"/>
      <c r="R639" s="259"/>
    </row>
    <row r="640" ht="1.5" customHeight="1">
      <c r="A640" s="165">
        <v>42858.0</v>
      </c>
      <c r="B640" s="55" t="s">
        <v>122</v>
      </c>
      <c r="C640" s="308" t="s">
        <v>125</v>
      </c>
      <c r="D640" s="55" t="s">
        <v>332</v>
      </c>
      <c r="E640" s="55">
        <v>195.0</v>
      </c>
      <c r="F640" s="169">
        <v>11.05</v>
      </c>
      <c r="G640" s="170">
        <v>-2154.76</v>
      </c>
      <c r="H640" s="314" t="s">
        <v>1077</v>
      </c>
      <c r="I640" s="171" t="str">
        <f t="shared" ref="I640:J640" si="645">IFS(AND($B640&lt;&gt;"",$E640&lt;&gt;""),IF(INDEX(N:N,MATCH($C640,$P:$P,0),1)&lt;&gt;"",$E640*INDEX(N:N,MATCH($C640,$P:$P,0),1)+$G640,""),AND($B640&lt;&gt;"",$D640="COST",$G640&lt;0),$G640,TRUE,)</f>
        <v/>
      </c>
      <c r="J640" s="171" t="str">
        <f t="shared" si="645"/>
        <v/>
      </c>
      <c r="K640" s="309" t="str">
        <f t="shared" si="3"/>
        <v>iShares Gold Trust</v>
      </c>
      <c r="L640" s="143">
        <f t="shared" si="4"/>
        <v>0</v>
      </c>
      <c r="M640" s="143">
        <f t="shared" si="5"/>
        <v>140.23</v>
      </c>
      <c r="N640" s="176" t="str">
        <f>IF($P640&lt;&gt;"",IF(MAXIFS(Investment!$M:$M,Investment!$H:$H,LEFT($P640,30)&amp;"*"),MAXIFS(Investment!$M:$M,Investment!$H:$H,LEFT($P640,30)&amp;"*"),),)</f>
        <v/>
      </c>
      <c r="O640" s="177" t="str">
        <f>IF($P640&lt;&gt;"",IF(MAXIFS(Investment!$AI:$AI,Investment!$H:$H,LEFT($P640,30)&amp;"*"),MAXIFS(Investment!$AI:$AI,Investment!$H:$H,LEFT($P640,30)&amp;"*"),),)</f>
        <v/>
      </c>
      <c r="P640" s="172"/>
      <c r="Q640" s="143"/>
      <c r="R640" s="259"/>
    </row>
    <row r="641" ht="1.5" customHeight="1">
      <c r="A641" s="165">
        <v>42858.0</v>
      </c>
      <c r="B641" s="55" t="s">
        <v>127</v>
      </c>
      <c r="C641" s="308" t="s">
        <v>130</v>
      </c>
      <c r="D641" s="55" t="s">
        <v>332</v>
      </c>
      <c r="E641" s="55">
        <v>44.0</v>
      </c>
      <c r="F641" s="169">
        <v>97.617</v>
      </c>
      <c r="G641" s="170">
        <v>-4295.13</v>
      </c>
      <c r="H641" s="314" t="s">
        <v>1078</v>
      </c>
      <c r="I641" s="171" t="str">
        <f t="shared" ref="I641:J641" si="646">IFS(AND($B641&lt;&gt;"",$E641&lt;&gt;""),IF(INDEX(N:N,MATCH($C641,$P:$P,0),1)&lt;&gt;"",$E641*INDEX(N:N,MATCH($C641,$P:$P,0),1)+$G641,""),AND($B641&lt;&gt;"",$D641="COST",$G641&lt;0),$G641,TRUE,)</f>
        <v/>
      </c>
      <c r="J641" s="171" t="str">
        <f t="shared" si="646"/>
        <v/>
      </c>
      <c r="K641" s="309" t="str">
        <f t="shared" si="3"/>
        <v>iShares 7-10 Year Treasury Bond ETF</v>
      </c>
      <c r="L641" s="143">
        <f t="shared" si="4"/>
        <v>0</v>
      </c>
      <c r="M641" s="143">
        <f t="shared" si="5"/>
        <v>-345.82</v>
      </c>
      <c r="N641" s="176" t="str">
        <f>IF($P641&lt;&gt;"",IF(MAXIFS(Investment!$M:$M,Investment!$H:$H,LEFT($P641,30)&amp;"*"),MAXIFS(Investment!$M:$M,Investment!$H:$H,LEFT($P641,30)&amp;"*"),),)</f>
        <v/>
      </c>
      <c r="O641" s="177" t="str">
        <f>IF($P641&lt;&gt;"",IF(MAXIFS(Investment!$AI:$AI,Investment!$H:$H,LEFT($P641,30)&amp;"*"),MAXIFS(Investment!$AI:$AI,Investment!$H:$H,LEFT($P641,30)&amp;"*"),),)</f>
        <v/>
      </c>
      <c r="P641" s="310"/>
      <c r="R641" s="52"/>
    </row>
    <row r="642" ht="1.5" customHeight="1">
      <c r="A642" s="165">
        <v>42858.0</v>
      </c>
      <c r="B642" s="55" t="s">
        <v>138</v>
      </c>
      <c r="C642" s="308" t="s">
        <v>141</v>
      </c>
      <c r="D642" s="55" t="s">
        <v>332</v>
      </c>
      <c r="E642" s="55">
        <v>76.0</v>
      </c>
      <c r="F642" s="169">
        <v>112.55</v>
      </c>
      <c r="G642" s="170">
        <v>-8554.15</v>
      </c>
      <c r="H642" s="314" t="s">
        <v>1079</v>
      </c>
      <c r="I642" s="171" t="str">
        <f t="shared" ref="I642:J642" si="647">IFS(AND($B642&lt;&gt;"",$E642&lt;&gt;""),IF(INDEX(N:N,MATCH($C642,$P:$P,0),1)&lt;&gt;"",$E642*INDEX(N:N,MATCH($C642,$P:$P,0),1)+$G642,""),AND($B642&lt;&gt;"",$D642="COST",$G642&lt;0),$G642,TRUE,)</f>
        <v/>
      </c>
      <c r="J642" s="171" t="str">
        <f t="shared" si="647"/>
        <v/>
      </c>
      <c r="K642" s="309" t="str">
        <f t="shared" si="3"/>
        <v>Vanguard Total Stock Market ETF</v>
      </c>
      <c r="L642" s="143">
        <f t="shared" si="4"/>
        <v>0</v>
      </c>
      <c r="M642" s="143">
        <f t="shared" si="5"/>
        <v>1880.34</v>
      </c>
      <c r="N642" s="176" t="str">
        <f>IF($P642&lt;&gt;"",IF(MAXIFS(Investment!$M:$M,Investment!$H:$H,LEFT($P642,30)&amp;"*"),MAXIFS(Investment!$M:$M,Investment!$H:$H,LEFT($P642,30)&amp;"*"),),)</f>
        <v/>
      </c>
      <c r="O642" s="177" t="str">
        <f>IF($P642&lt;&gt;"",IF(MAXIFS(Investment!$AI:$AI,Investment!$H:$H,LEFT($P642,30)&amp;"*"),MAXIFS(Investment!$AI:$AI,Investment!$H:$H,LEFT($P642,30)&amp;"*"),),)</f>
        <v/>
      </c>
      <c r="P642" s="172"/>
      <c r="Q642" s="143"/>
      <c r="R642" s="259"/>
    </row>
    <row r="643">
      <c r="A643" s="165">
        <v>42858.0</v>
      </c>
      <c r="B643" s="55" t="s">
        <v>134</v>
      </c>
      <c r="C643" s="308" t="s">
        <v>137</v>
      </c>
      <c r="D643" s="55" t="s">
        <v>332</v>
      </c>
      <c r="E643" s="55">
        <v>111.0</v>
      </c>
      <c r="F643" s="169">
        <v>104.22</v>
      </c>
      <c r="G643" s="170">
        <v>-11568.3</v>
      </c>
      <c r="H643" s="314" t="s">
        <v>1080</v>
      </c>
      <c r="I643" s="171" t="str">
        <f t="shared" ref="I643:J643" si="648">IFS(AND($B643&lt;&gt;"",$E643&lt;&gt;""),IF(INDEX(N:N,MATCH($C643,$P:$P,0),1)&lt;&gt;"",$E643*INDEX(N:N,MATCH($C643,$P:$P,0),1)+$G643,""),AND($B643&lt;&gt;"",$D643="COST",$G643&lt;0),$G643,TRUE,)</f>
        <v/>
      </c>
      <c r="J643" s="171" t="str">
        <f t="shared" si="648"/>
        <v/>
      </c>
      <c r="K643" s="309" t="str">
        <f t="shared" si="3"/>
        <v>Vanguard Extended Duration Treasury ETF</v>
      </c>
      <c r="L643" s="143">
        <f t="shared" si="4"/>
        <v>0</v>
      </c>
      <c r="M643" s="143">
        <f t="shared" si="5"/>
        <v>-4857.35</v>
      </c>
      <c r="N643" s="176" t="str">
        <f>IF($P643&lt;&gt;"",IF(MAXIFS(Investment!$M:$M,Investment!$H:$H,LEFT($P643,30)&amp;"*"),MAXIFS(Investment!$M:$M,Investment!$H:$H,LEFT($P643,30)&amp;"*"),),)</f>
        <v/>
      </c>
      <c r="O643" s="177" t="str">
        <f>IF($P643&lt;&gt;"",IF(MAXIFS(Investment!$AI:$AI,Investment!$H:$H,LEFT($P643,30)&amp;"*"),MAXIFS(Investment!$AI:$AI,Investment!$H:$H,LEFT($P643,30)&amp;"*"),),)</f>
        <v/>
      </c>
      <c r="P643" s="172"/>
      <c r="Q643" s="143"/>
      <c r="R643" s="259"/>
    </row>
    <row r="644">
      <c r="A644" s="165">
        <v>42857.0</v>
      </c>
      <c r="B644" s="55" t="s">
        <v>118</v>
      </c>
      <c r="C644" s="308" t="s">
        <v>119</v>
      </c>
      <c r="D644" s="55" t="s">
        <v>332</v>
      </c>
      <c r="E644" s="55">
        <v>181.0</v>
      </c>
      <c r="F644" s="169">
        <v>19.31</v>
      </c>
      <c r="G644" s="170">
        <v>-3495.11</v>
      </c>
      <c r="H644" s="310" t="s">
        <v>1081</v>
      </c>
      <c r="I644" s="171" t="str">
        <f t="shared" ref="I644:J644" si="649">IFS(AND($B644&lt;&gt;"",$E644&lt;&gt;""),IF(INDEX(N:N,MATCH($C644,$P:$P,0),1)&lt;&gt;"",$E644*INDEX(N:N,MATCH($C644,$P:$P,0),1)+$G644,""),AND($B644&lt;&gt;"",$D644="COST",$G644&lt;0),$G644,TRUE,)</f>
        <v/>
      </c>
      <c r="J644" s="171" t="str">
        <f t="shared" si="649"/>
        <v/>
      </c>
      <c r="K644" s="309" t="str">
        <f t="shared" si="3"/>
        <v>iShares Diversified Commodity Swap UCITS ETF DE</v>
      </c>
      <c r="L644" s="143">
        <f t="shared" si="4"/>
        <v>0</v>
      </c>
      <c r="M644" s="143">
        <f t="shared" si="5"/>
        <v>-296.42</v>
      </c>
      <c r="N644" s="176" t="str">
        <f>IF($P644&lt;&gt;"",IF(MAXIFS(Investment!$M:$M,Investment!$H:$H,LEFT($P644,30)&amp;"*"),MAXIFS(Investment!$M:$M,Investment!$H:$H,LEFT($P644,30)&amp;"*"),),)</f>
        <v/>
      </c>
      <c r="O644" s="177" t="str">
        <f>IF($P644&lt;&gt;"",IF(MAXIFS(Investment!$AI:$AI,Investment!$H:$H,LEFT($P644,30)&amp;"*"),MAXIFS(Investment!$AI:$AI,Investment!$H:$H,LEFT($P644,30)&amp;"*"),),)</f>
        <v/>
      </c>
      <c r="P644" s="310"/>
      <c r="R644" s="52"/>
    </row>
    <row r="645" ht="1.5" customHeight="1">
      <c r="A645" s="165">
        <v>42856.0</v>
      </c>
      <c r="B645" s="55" t="s">
        <v>127</v>
      </c>
      <c r="C645" s="308" t="s">
        <v>130</v>
      </c>
      <c r="D645" s="55" t="s">
        <v>332</v>
      </c>
      <c r="E645" s="55">
        <v>66.0</v>
      </c>
      <c r="F645" s="169">
        <v>97.561</v>
      </c>
      <c r="G645" s="170">
        <v>-6439.03</v>
      </c>
      <c r="H645" s="310" t="s">
        <v>1082</v>
      </c>
      <c r="I645" s="171" t="str">
        <f t="shared" ref="I645:J645" si="650">IFS(AND($B645&lt;&gt;"",$E645&lt;&gt;""),IF(INDEX(N:N,MATCH($C645,$P:$P,0),1)&lt;&gt;"",$E645*INDEX(N:N,MATCH($C645,$P:$P,0),1)+$G645,""),AND($B645&lt;&gt;"",$D645="COST",$G645&lt;0),$G645,TRUE,)</f>
        <v/>
      </c>
      <c r="J645" s="171" t="str">
        <f t="shared" si="650"/>
        <v/>
      </c>
      <c r="K645" s="309" t="str">
        <f t="shared" si="3"/>
        <v>iShares 7-10 Year Treasury Bond ETF</v>
      </c>
      <c r="L645" s="143">
        <f t="shared" si="4"/>
        <v>0</v>
      </c>
      <c r="M645" s="143">
        <f t="shared" si="5"/>
        <v>-345.82</v>
      </c>
      <c r="N645" s="176" t="str">
        <f>IF($P645&lt;&gt;"",IF(MAXIFS(Investment!$M:$M,Investment!$H:$H,LEFT($P645,30)&amp;"*"),MAXIFS(Investment!$M:$M,Investment!$H:$H,LEFT($P645,30)&amp;"*"),),)</f>
        <v/>
      </c>
      <c r="O645" s="177" t="str">
        <f>IF($P645&lt;&gt;"",IF(MAXIFS(Investment!$AI:$AI,Investment!$H:$H,LEFT($P645,30)&amp;"*"),MAXIFS(Investment!$AI:$AI,Investment!$H:$H,LEFT($P645,30)&amp;"*"),),)</f>
        <v/>
      </c>
      <c r="P645" s="172"/>
      <c r="Q645" s="143"/>
      <c r="R645" s="259"/>
    </row>
    <row r="646" ht="1.5" customHeight="1">
      <c r="A646" s="165">
        <v>42856.0</v>
      </c>
      <c r="B646" s="55" t="s">
        <v>138</v>
      </c>
      <c r="C646" s="308" t="s">
        <v>141</v>
      </c>
      <c r="D646" s="55" t="s">
        <v>332</v>
      </c>
      <c r="E646" s="55">
        <v>115.0</v>
      </c>
      <c r="F646" s="169">
        <v>112.8</v>
      </c>
      <c r="G646" s="170">
        <v>-12972.31</v>
      </c>
      <c r="H646" s="310" t="s">
        <v>1083</v>
      </c>
      <c r="I646" s="171" t="str">
        <f t="shared" ref="I646:J646" si="651">IFS(AND($B646&lt;&gt;"",$E646&lt;&gt;""),IF(INDEX(N:N,MATCH($C646,$P:$P,0),1)&lt;&gt;"",$E646*INDEX(N:N,MATCH($C646,$P:$P,0),1)+$G646,""),AND($B646&lt;&gt;"",$D646="COST",$G646&lt;0),$G646,TRUE,)</f>
        <v/>
      </c>
      <c r="J646" s="171" t="str">
        <f t="shared" si="651"/>
        <v/>
      </c>
      <c r="K646" s="309" t="str">
        <f t="shared" si="3"/>
        <v>Vanguard Total Stock Market ETF</v>
      </c>
      <c r="L646" s="143">
        <f t="shared" si="4"/>
        <v>0</v>
      </c>
      <c r="M646" s="143">
        <f t="shared" si="5"/>
        <v>1880.34</v>
      </c>
      <c r="N646" s="176" t="str">
        <f>IF($P646&lt;&gt;"",IF(MAXIFS(Investment!$M:$M,Investment!$H:$H,LEFT($P646,30)&amp;"*"),MAXIFS(Investment!$M:$M,Investment!$H:$H,LEFT($P646,30)&amp;"*"),),)</f>
        <v/>
      </c>
      <c r="O646" s="177" t="str">
        <f>IF($P646&lt;&gt;"",IF(MAXIFS(Investment!$AI:$AI,Investment!$H:$H,LEFT($P646,30)&amp;"*"),MAXIFS(Investment!$AI:$AI,Investment!$H:$H,LEFT($P646,30)&amp;"*"),),)</f>
        <v/>
      </c>
      <c r="P646" s="172"/>
      <c r="Q646" s="143"/>
      <c r="R646" s="259"/>
    </row>
    <row r="647">
      <c r="A647" s="165">
        <v>42856.0</v>
      </c>
      <c r="B647" s="55" t="s">
        <v>122</v>
      </c>
      <c r="C647" s="308" t="s">
        <v>125</v>
      </c>
      <c r="D647" s="55" t="s">
        <v>332</v>
      </c>
      <c r="E647" s="55">
        <v>290.0</v>
      </c>
      <c r="F647" s="169">
        <v>11.16</v>
      </c>
      <c r="G647" s="170">
        <v>-3235.89</v>
      </c>
      <c r="H647" s="310" t="s">
        <v>1084</v>
      </c>
      <c r="I647" s="171" t="str">
        <f t="shared" ref="I647:J647" si="652">IFS(AND($B647&lt;&gt;"",$E647&lt;&gt;""),IF(INDEX(N:N,MATCH($C647,$P:$P,0),1)&lt;&gt;"",$E647*INDEX(N:N,MATCH($C647,$P:$P,0),1)+$G647,""),AND($B647&lt;&gt;"",$D647="COST",$G647&lt;0),$G647,TRUE,)</f>
        <v/>
      </c>
      <c r="J647" s="171" t="str">
        <f t="shared" si="652"/>
        <v/>
      </c>
      <c r="K647" s="309" t="str">
        <f t="shared" si="3"/>
        <v>iShares Gold Trust</v>
      </c>
      <c r="L647" s="143">
        <f t="shared" si="4"/>
        <v>0</v>
      </c>
      <c r="M647" s="143">
        <f t="shared" si="5"/>
        <v>140.23</v>
      </c>
      <c r="N647" s="176" t="str">
        <f>IF($P647&lt;&gt;"",IF(MAXIFS(Investment!$M:$M,Investment!$H:$H,LEFT($P647,30)&amp;"*"),MAXIFS(Investment!$M:$M,Investment!$H:$H,LEFT($P647,30)&amp;"*"),),)</f>
        <v/>
      </c>
      <c r="O647" s="177" t="str">
        <f>IF($P647&lt;&gt;"",IF(MAXIFS(Investment!$AI:$AI,Investment!$H:$H,LEFT($P647,30)&amp;"*"),MAXIFS(Investment!$AI:$AI,Investment!$H:$H,LEFT($P647,30)&amp;"*"),),)</f>
        <v/>
      </c>
      <c r="P647" s="310"/>
      <c r="R647" s="52"/>
    </row>
    <row r="648">
      <c r="A648" s="165">
        <v>42856.0</v>
      </c>
      <c r="B648" s="55" t="s">
        <v>134</v>
      </c>
      <c r="C648" s="308" t="s">
        <v>137</v>
      </c>
      <c r="D648" s="55" t="s">
        <v>332</v>
      </c>
      <c r="E648" s="55">
        <v>166.0</v>
      </c>
      <c r="F648" s="169">
        <v>103.67</v>
      </c>
      <c r="G648" s="170">
        <v>-17209.62</v>
      </c>
      <c r="H648" s="310" t="s">
        <v>1085</v>
      </c>
      <c r="I648" s="171" t="str">
        <f t="shared" ref="I648:J648" si="653">IFS(AND($B648&lt;&gt;"",$E648&lt;&gt;""),IF(INDEX(N:N,MATCH($C648,$P:$P,0),1)&lt;&gt;"",$E648*INDEX(N:N,MATCH($C648,$P:$P,0),1)+$G648,""),AND($B648&lt;&gt;"",$D648="COST",$G648&lt;0),$G648,TRUE,)</f>
        <v/>
      </c>
      <c r="J648" s="171" t="str">
        <f t="shared" si="653"/>
        <v/>
      </c>
      <c r="K648" s="309" t="str">
        <f t="shared" si="3"/>
        <v>Vanguard Extended Duration Treasury ETF</v>
      </c>
      <c r="L648" s="143">
        <f t="shared" si="4"/>
        <v>0</v>
      </c>
      <c r="M648" s="143">
        <f t="shared" si="5"/>
        <v>-4857.35</v>
      </c>
      <c r="N648" s="176" t="str">
        <f>IF($P648&lt;&gt;"",IF(MAXIFS(Investment!$M:$M,Investment!$H:$H,LEFT($P648,30)&amp;"*"),MAXIFS(Investment!$M:$M,Investment!$H:$H,LEFT($P648,30)&amp;"*"),),)</f>
        <v/>
      </c>
      <c r="O648" s="177" t="str">
        <f>IF($P648&lt;&gt;"",IF(MAXIFS(Investment!$AI:$AI,Investment!$H:$H,LEFT($P648,30)&amp;"*"),MAXIFS(Investment!$AI:$AI,Investment!$H:$H,LEFT($P648,30)&amp;"*"),),)</f>
        <v/>
      </c>
      <c r="P648" s="310"/>
      <c r="R648" s="52"/>
    </row>
    <row r="649">
      <c r="A649" s="165">
        <v>42853.0</v>
      </c>
      <c r="B649" s="166"/>
      <c r="C649" s="167"/>
      <c r="D649" s="168" t="s">
        <v>299</v>
      </c>
      <c r="E649" s="168"/>
      <c r="F649" s="169"/>
      <c r="G649" s="170">
        <v>43355.53</v>
      </c>
      <c r="H649" s="167" t="s">
        <v>1086</v>
      </c>
      <c r="I649" s="171" t="str">
        <f t="shared" ref="I649:J649" si="654">IFS(AND($B649&lt;&gt;"",$E649&lt;&gt;""),IF(INDEX(N:N,MATCH($C649,$P:$P,0),1)&lt;&gt;"",$E649*INDEX(N:N,MATCH($C649,$P:$P,0),1)+$G649,""),AND($B649&lt;&gt;"",$D649="COST",$G649&lt;0),$G649,TRUE,)</f>
        <v/>
      </c>
      <c r="J649" s="171" t="str">
        <f t="shared" si="654"/>
        <v/>
      </c>
      <c r="K649" s="309" t="str">
        <f t="shared" si="3"/>
        <v/>
      </c>
      <c r="L649" s="143" t="str">
        <f t="shared" si="4"/>
        <v/>
      </c>
      <c r="M649" s="143" t="str">
        <f t="shared" si="5"/>
        <v/>
      </c>
      <c r="N649" s="176" t="str">
        <f>IF($P649&lt;&gt;"",IF(MAXIFS(Investment!$M:$M,Investment!$H:$H,LEFT($P649,30)&amp;"*"),MAXIFS(Investment!$M:$M,Investment!$H:$H,LEFT($P649,30)&amp;"*"),),)</f>
        <v/>
      </c>
      <c r="O649" s="177" t="str">
        <f>IF($P649&lt;&gt;"",IF(MAXIFS(Investment!$AI:$AI,Investment!$H:$H,LEFT($P649,30)&amp;"*"),MAXIFS(Investment!$AI:$AI,Investment!$H:$H,LEFT($P649,30)&amp;"*"),),)</f>
        <v/>
      </c>
      <c r="P649" s="310"/>
      <c r="R649" s="52"/>
    </row>
    <row r="650">
      <c r="A650" s="165">
        <v>42846.0</v>
      </c>
      <c r="B650" s="166"/>
      <c r="C650" s="167"/>
      <c r="D650" s="168" t="s">
        <v>299</v>
      </c>
      <c r="E650" s="168"/>
      <c r="F650" s="169"/>
      <c r="G650" s="170">
        <v>1.0</v>
      </c>
      <c r="H650" s="167" t="s">
        <v>1087</v>
      </c>
      <c r="I650" s="171" t="str">
        <f t="shared" ref="I650:J650" si="655">IFS(AND($B650&lt;&gt;"",$E650&lt;&gt;""),IF(INDEX(N:N,MATCH($C650,$P:$P,0),1)&lt;&gt;"",$E650*INDEX(N:N,MATCH($C650,$P:$P,0),1)+$G650,""),AND($B650&lt;&gt;"",$D650="COST",$G650&lt;0),$G650,TRUE,)</f>
        <v/>
      </c>
      <c r="J650" s="171" t="str">
        <f t="shared" si="655"/>
        <v/>
      </c>
      <c r="K650" s="309" t="str">
        <f t="shared" si="3"/>
        <v/>
      </c>
      <c r="L650" s="143" t="str">
        <f t="shared" si="4"/>
        <v/>
      </c>
      <c r="M650" s="143" t="str">
        <f t="shared" si="5"/>
        <v/>
      </c>
      <c r="N650" s="176" t="str">
        <f>IF($P650&lt;&gt;"",IF(MAXIFS(Investment!$M:$M,Investment!$H:$H,LEFT($P650,30)&amp;"*"),MAXIFS(Investment!$M:$M,Investment!$H:$H,LEFT($P650,30)&amp;"*"),),)</f>
        <v/>
      </c>
      <c r="O650" s="177" t="str">
        <f>IF($P650&lt;&gt;"",IF(MAXIFS(Investment!$AI:$AI,Investment!$H:$H,LEFT($P650,30)&amp;"*"),MAXIFS(Investment!$AI:$AI,Investment!$H:$H,LEFT($P650,30)&amp;"*"),),)</f>
        <v/>
      </c>
      <c r="P650" s="310"/>
      <c r="R650" s="52"/>
    </row>
    <row r="651">
      <c r="A651" s="315">
        <v>42845.0</v>
      </c>
      <c r="B651" s="316"/>
      <c r="C651" s="317"/>
      <c r="D651" s="318" t="s">
        <v>301</v>
      </c>
      <c r="E651" s="316"/>
      <c r="F651" s="319"/>
      <c r="G651" s="320">
        <v>-6.0</v>
      </c>
      <c r="H651" s="321" t="str">
        <f t="shared" ref="H651:H688" si="657">IF(D651&lt;&gt;"",C651 &amp; "@" &amp; D651 &amp; "@" &amp; E651 &amp; "@" &amp; G651,"")</f>
        <v>@COST@@-6</v>
      </c>
      <c r="I651" s="171" t="str">
        <f t="shared" ref="I651:J651" si="656">IFS(AND($B651&lt;&gt;"",$E651&lt;&gt;""),IF(INDEX(N:N,MATCH($C651,$P:$P,0),1)&lt;&gt;"",$E651*INDEX(N:N,MATCH($C651,$P:$P,0),1)+$G651,""),AND($B651&lt;&gt;"",$D651="COST",$G651&lt;0),$G651,TRUE,)</f>
        <v/>
      </c>
      <c r="J651" s="171" t="str">
        <f t="shared" si="656"/>
        <v/>
      </c>
      <c r="K651" s="309" t="str">
        <f t="shared" si="3"/>
        <v/>
      </c>
      <c r="L651" s="143" t="str">
        <f t="shared" si="4"/>
        <v/>
      </c>
      <c r="M651" s="143" t="str">
        <f t="shared" si="5"/>
        <v/>
      </c>
      <c r="N651" s="176" t="str">
        <f>IF($P651&lt;&gt;"",IF(MAXIFS(Investment!$M:$M,Investment!$H:$H,LEFT($P651,30)&amp;"*"),MAXIFS(Investment!$M:$M,Investment!$H:$H,LEFT($P651,30)&amp;"*"),),)</f>
        <v/>
      </c>
      <c r="O651" s="177" t="str">
        <f>IF($P651&lt;&gt;"",IF(MAXIFS(Investment!$AI:$AI,Investment!$H:$H,LEFT($P651,30)&amp;"*"),MAXIFS(Investment!$AI:$AI,Investment!$H:$H,LEFT($P651,30)&amp;"*"),),)</f>
        <v/>
      </c>
      <c r="P651" s="172"/>
      <c r="Q651" s="143"/>
      <c r="R651" s="259"/>
    </row>
    <row r="652">
      <c r="A652" s="315">
        <v>42845.0</v>
      </c>
      <c r="B652" s="316"/>
      <c r="C652" s="317"/>
      <c r="D652" s="318" t="s">
        <v>299</v>
      </c>
      <c r="E652" s="316"/>
      <c r="F652" s="319"/>
      <c r="G652" s="320">
        <v>-45404.0</v>
      </c>
      <c r="H652" s="321" t="str">
        <f t="shared" si="657"/>
        <v>@APPROVISIONNEMENT@@-45404</v>
      </c>
      <c r="I652" s="171" t="str">
        <f t="shared" ref="I652:J652" si="658">IFS(AND($B652&lt;&gt;"",$E652&lt;&gt;""),IF(INDEX(N:N,MATCH($C652,$P:$P,0),1)&lt;&gt;"",$E652*INDEX(N:N,MATCH($C652,$P:$P,0),1)+$G652,""),AND($B652&lt;&gt;"",$D652="COST",$G652&lt;0),$G652,TRUE,)</f>
        <v/>
      </c>
      <c r="J652" s="171" t="str">
        <f t="shared" si="658"/>
        <v/>
      </c>
      <c r="K652" s="309" t="str">
        <f t="shared" si="3"/>
        <v/>
      </c>
      <c r="L652" s="143" t="str">
        <f t="shared" si="4"/>
        <v/>
      </c>
      <c r="M652" s="143" t="str">
        <f t="shared" si="5"/>
        <v/>
      </c>
      <c r="N652" s="176" t="str">
        <f>IF($P652&lt;&gt;"",IF(MAXIFS(Investment!$M:$M,Investment!$H:$H,LEFT($P652,30)&amp;"*"),MAXIFS(Investment!$M:$M,Investment!$H:$H,LEFT($P652,30)&amp;"*"),),)</f>
        <v/>
      </c>
      <c r="O652" s="177" t="str">
        <f>IF($P652&lt;&gt;"",IF(MAXIFS(Investment!$AI:$AI,Investment!$H:$H,LEFT($P652,30)&amp;"*"),MAXIFS(Investment!$AI:$AI,Investment!$H:$H,LEFT($P652,30)&amp;"*"),),)</f>
        <v/>
      </c>
      <c r="P652" s="310"/>
      <c r="R652" s="52"/>
    </row>
    <row r="653">
      <c r="A653" s="315">
        <v>42845.0</v>
      </c>
      <c r="B653" s="316"/>
      <c r="C653" s="317"/>
      <c r="D653" s="318" t="s">
        <v>299</v>
      </c>
      <c r="E653" s="316"/>
      <c r="F653" s="319"/>
      <c r="G653" s="320">
        <v>-452.53</v>
      </c>
      <c r="H653" s="321" t="str">
        <f t="shared" si="657"/>
        <v>@APPROVISIONNEMENT@@-452.53</v>
      </c>
      <c r="I653" s="171" t="str">
        <f t="shared" ref="I653:J653" si="659">IFS(AND($B653&lt;&gt;"",$E653&lt;&gt;""),IF(INDEX(N:N,MATCH($C653,$P:$P,0),1)&lt;&gt;"",$E653*INDEX(N:N,MATCH($C653,$P:$P,0),1)+$G653,""),AND($B653&lt;&gt;"",$D653="COST",$G653&lt;0),$G653,TRUE,)</f>
        <v/>
      </c>
      <c r="J653" s="171" t="str">
        <f t="shared" si="659"/>
        <v/>
      </c>
      <c r="K653" s="309" t="str">
        <f t="shared" si="3"/>
        <v/>
      </c>
      <c r="L653" s="143" t="str">
        <f t="shared" si="4"/>
        <v/>
      </c>
      <c r="M653" s="143" t="str">
        <f t="shared" si="5"/>
        <v/>
      </c>
      <c r="N653" s="176" t="str">
        <f>IF($P653&lt;&gt;"",IF(MAXIFS(Investment!$M:$M,Investment!$H:$H,LEFT($P653,30)&amp;"*"),MAXIFS(Investment!$M:$M,Investment!$H:$H,LEFT($P653,30)&amp;"*"),),)</f>
        <v/>
      </c>
      <c r="O653" s="177" t="str">
        <f>IF($P653&lt;&gt;"",IF(MAXIFS(Investment!$AI:$AI,Investment!$H:$H,LEFT($P653,30)&amp;"*"),MAXIFS(Investment!$AI:$AI,Investment!$H:$H,LEFT($P653,30)&amp;"*"),),)</f>
        <v/>
      </c>
      <c r="P653" s="310"/>
      <c r="R653" s="52"/>
    </row>
    <row r="654">
      <c r="A654" s="322">
        <v>42845.0</v>
      </c>
      <c r="B654" s="323" t="s">
        <v>134</v>
      </c>
      <c r="C654" s="324" t="s">
        <v>137</v>
      </c>
      <c r="D654" s="323" t="s">
        <v>280</v>
      </c>
      <c r="E654" s="325">
        <v>-179.0</v>
      </c>
      <c r="F654" s="326">
        <v>107.2757</v>
      </c>
      <c r="G654" s="327">
        <v>19185.08</v>
      </c>
      <c r="H654" s="321" t="str">
        <f t="shared" si="657"/>
        <v>Vanguard Extended Duration Treasury ETF@SELL@-179@19185.08</v>
      </c>
      <c r="I654" s="171" t="str">
        <f t="shared" ref="I654:J654" si="660">IFS(AND($B654&lt;&gt;"",$E654&lt;&gt;""),IF(INDEX(N:N,MATCH($C654,$P:$P,0),1)&lt;&gt;"",$E654*INDEX(N:N,MATCH($C654,$P:$P,0),1)+$G654,""),AND($B654&lt;&gt;"",$D654="COST",$G654&lt;0),$G654,TRUE,)</f>
        <v/>
      </c>
      <c r="J654" s="171" t="str">
        <f t="shared" si="660"/>
        <v/>
      </c>
      <c r="K654" s="309" t="str">
        <f t="shared" si="3"/>
        <v>Vanguard Extended Duration Treasury ETF</v>
      </c>
      <c r="L654" s="143">
        <f t="shared" si="4"/>
        <v>0</v>
      </c>
      <c r="M654" s="143">
        <f t="shared" si="5"/>
        <v>-4857.35</v>
      </c>
      <c r="N654" s="176" t="str">
        <f>IF($P654&lt;&gt;"",IF(MAXIFS(Investment!$M:$M,Investment!$H:$H,LEFT($P654,30)&amp;"*"),MAXIFS(Investment!$M:$M,Investment!$H:$H,LEFT($P654,30)&amp;"*"),),)</f>
        <v/>
      </c>
      <c r="O654" s="177" t="str">
        <f>IF($P654&lt;&gt;"",IF(MAXIFS(Investment!$AI:$AI,Investment!$H:$H,LEFT($P654,30)&amp;"*"),MAXIFS(Investment!$AI:$AI,Investment!$H:$H,LEFT($P654,30)&amp;"*"),),)</f>
        <v/>
      </c>
      <c r="P654" s="310"/>
      <c r="R654" s="52"/>
    </row>
    <row r="655">
      <c r="A655" s="322">
        <v>42845.0</v>
      </c>
      <c r="B655" s="323" t="s">
        <v>122</v>
      </c>
      <c r="C655" s="324" t="s">
        <v>125</v>
      </c>
      <c r="D655" s="323" t="s">
        <v>280</v>
      </c>
      <c r="E655" s="325">
        <v>-292.0</v>
      </c>
      <c r="F655" s="326">
        <v>11.4687</v>
      </c>
      <c r="G655" s="327">
        <v>3340.35</v>
      </c>
      <c r="H655" s="321" t="str">
        <f t="shared" si="657"/>
        <v>iShares Gold Trust@SELL@-292@3340.35</v>
      </c>
      <c r="I655" s="171" t="str">
        <f t="shared" ref="I655:J655" si="661">IFS(AND($B655&lt;&gt;"",$E655&lt;&gt;""),IF(INDEX(N:N,MATCH($C655,$P:$P,0),1)&lt;&gt;"",$E655*INDEX(N:N,MATCH($C655,$P:$P,0),1)+$G655,""),AND($B655&lt;&gt;"",$D655="COST",$G655&lt;0),$G655,TRUE,)</f>
        <v/>
      </c>
      <c r="J655" s="171" t="str">
        <f t="shared" si="661"/>
        <v/>
      </c>
      <c r="K655" s="309" t="str">
        <f t="shared" si="3"/>
        <v>iShares Gold Trust</v>
      </c>
      <c r="L655" s="143">
        <f t="shared" si="4"/>
        <v>0</v>
      </c>
      <c r="M655" s="143">
        <f t="shared" si="5"/>
        <v>140.23</v>
      </c>
      <c r="N655" s="176" t="str">
        <f>IF($P655&lt;&gt;"",IF(MAXIFS(Investment!$M:$M,Investment!$H:$H,LEFT($P655,30)&amp;"*"),MAXIFS(Investment!$M:$M,Investment!$H:$H,LEFT($P655,30)&amp;"*"),),)</f>
        <v/>
      </c>
      <c r="O655" s="177" t="str">
        <f>IF($P655&lt;&gt;"",IF(MAXIFS(Investment!$AI:$AI,Investment!$H:$H,LEFT($P655,30)&amp;"*"),MAXIFS(Investment!$AI:$AI,Investment!$H:$H,LEFT($P655,30)&amp;"*"),),)</f>
        <v/>
      </c>
      <c r="P655" s="321"/>
      <c r="R655" s="236"/>
    </row>
    <row r="656">
      <c r="A656" s="322">
        <v>42845.0</v>
      </c>
      <c r="B656" s="323" t="s">
        <v>127</v>
      </c>
      <c r="C656" s="324" t="s">
        <v>130</v>
      </c>
      <c r="D656" s="323" t="s">
        <v>280</v>
      </c>
      <c r="E656" s="325">
        <v>-67.0</v>
      </c>
      <c r="F656" s="326">
        <v>99.6126</v>
      </c>
      <c r="G656" s="327">
        <v>6665.55</v>
      </c>
      <c r="H656" s="321" t="str">
        <f t="shared" si="657"/>
        <v>iShares 7-10 Year Treasury Bond ETF@SELL@-67@6665.55</v>
      </c>
      <c r="I656" s="171" t="str">
        <f t="shared" ref="I656:J656" si="662">IFS(AND($B656&lt;&gt;"",$E656&lt;&gt;""),IF(INDEX(N:N,MATCH($C656,$P:$P,0),1)&lt;&gt;"",$E656*INDEX(N:N,MATCH($C656,$P:$P,0),1)+$G656,""),AND($B656&lt;&gt;"",$D656="COST",$G656&lt;0),$G656,TRUE,)</f>
        <v/>
      </c>
      <c r="J656" s="171" t="str">
        <f t="shared" si="662"/>
        <v/>
      </c>
      <c r="K656" s="309" t="str">
        <f t="shared" si="3"/>
        <v>iShares 7-10 Year Treasury Bond ETF</v>
      </c>
      <c r="L656" s="143">
        <f t="shared" si="4"/>
        <v>0</v>
      </c>
      <c r="M656" s="143">
        <f t="shared" si="5"/>
        <v>-345.82</v>
      </c>
      <c r="N656" s="176" t="str">
        <f>IF($P656&lt;&gt;"",IF(MAXIFS(Investment!$M:$M,Investment!$H:$H,LEFT($P656,30)&amp;"*"),MAXIFS(Investment!$M:$M,Investment!$H:$H,LEFT($P656,30)&amp;"*"),),)</f>
        <v/>
      </c>
      <c r="O656" s="177" t="str">
        <f>IF($P656&lt;&gt;"",IF(MAXIFS(Investment!$AI:$AI,Investment!$H:$H,LEFT($P656,30)&amp;"*"),MAXIFS(Investment!$AI:$AI,Investment!$H:$H,LEFT($P656,30)&amp;"*"),),)</f>
        <v/>
      </c>
      <c r="P656" s="321"/>
      <c r="R656" s="236"/>
    </row>
    <row r="657" ht="1.5" customHeight="1">
      <c r="A657" s="322">
        <v>42845.0</v>
      </c>
      <c r="B657" s="323" t="s">
        <v>118</v>
      </c>
      <c r="C657" s="324" t="s">
        <v>119</v>
      </c>
      <c r="D657" s="323" t="s">
        <v>280</v>
      </c>
      <c r="E657" s="325">
        <v>-211.0</v>
      </c>
      <c r="F657" s="326">
        <v>14.3195</v>
      </c>
      <c r="G657" s="327">
        <v>3012.92</v>
      </c>
      <c r="H657" s="321" t="str">
        <f t="shared" si="657"/>
        <v>iShares Diversified Commodity Swap UCITS ETF DE@SELL@-211@3012.92</v>
      </c>
      <c r="I657" s="171" t="str">
        <f t="shared" ref="I657:J657" si="663">IFS(AND($B657&lt;&gt;"",$E657&lt;&gt;""),IF(INDEX(N:N,MATCH($C657,$P:$P,0),1)&lt;&gt;"",$E657*INDEX(N:N,MATCH($C657,$P:$P,0),1)+$G657,""),AND($B657&lt;&gt;"",$D657="COST",$G657&lt;0),$G657,TRUE,)</f>
        <v/>
      </c>
      <c r="J657" s="171" t="str">
        <f t="shared" si="663"/>
        <v/>
      </c>
      <c r="K657" s="309" t="str">
        <f t="shared" si="3"/>
        <v>iShares Diversified Commodity Swap UCITS ETF DE</v>
      </c>
      <c r="L657" s="143">
        <f t="shared" si="4"/>
        <v>0</v>
      </c>
      <c r="M657" s="143">
        <f t="shared" si="5"/>
        <v>-296.42</v>
      </c>
      <c r="N657" s="176" t="str">
        <f>IF($P657&lt;&gt;"",IF(MAXIFS(Investment!$M:$M,Investment!$H:$H,LEFT($P657,30)&amp;"*"),MAXIFS(Investment!$M:$M,Investment!$H:$H,LEFT($P657,30)&amp;"*"),),)</f>
        <v/>
      </c>
      <c r="O657" s="177" t="str">
        <f>IF($P657&lt;&gt;"",IF(MAXIFS(Investment!$AI:$AI,Investment!$H:$H,LEFT($P657,30)&amp;"*"),MAXIFS(Investment!$AI:$AI,Investment!$H:$H,LEFT($P657,30)&amp;"*"),),)</f>
        <v/>
      </c>
      <c r="P657" s="321"/>
      <c r="R657" s="236"/>
    </row>
    <row r="658" ht="1.5" customHeight="1">
      <c r="A658" s="322">
        <v>42845.0</v>
      </c>
      <c r="B658" s="323" t="s">
        <v>138</v>
      </c>
      <c r="C658" s="328" t="s">
        <v>141</v>
      </c>
      <c r="D658" s="323" t="s">
        <v>280</v>
      </c>
      <c r="E658" s="325">
        <v>-120.0</v>
      </c>
      <c r="F658" s="326">
        <v>112.3483</v>
      </c>
      <c r="G658" s="327">
        <v>13469.67</v>
      </c>
      <c r="H658" s="321" t="str">
        <f t="shared" si="657"/>
        <v>Vanguard Total Stock Market ETF@SELL@-120@13469.67</v>
      </c>
      <c r="I658" s="171" t="str">
        <f t="shared" ref="I658:J658" si="664">IFS(AND($B658&lt;&gt;"",$E658&lt;&gt;""),IF(INDEX(N:N,MATCH($C658,$P:$P,0),1)&lt;&gt;"",$E658*INDEX(N:N,MATCH($C658,$P:$P,0),1)+$G658,""),AND($B658&lt;&gt;"",$D658="COST",$G658&lt;0),$G658,TRUE,)</f>
        <v/>
      </c>
      <c r="J658" s="171" t="str">
        <f t="shared" si="664"/>
        <v/>
      </c>
      <c r="K658" s="309" t="str">
        <f t="shared" si="3"/>
        <v>Vanguard Total Stock Market ETF</v>
      </c>
      <c r="L658" s="143">
        <f t="shared" si="4"/>
        <v>0</v>
      </c>
      <c r="M658" s="143">
        <f t="shared" si="5"/>
        <v>1880.34</v>
      </c>
      <c r="N658" s="176" t="str">
        <f>IF($P658&lt;&gt;"",IF(MAXIFS(Investment!$M:$M,Investment!$H:$H,LEFT($P658,30)&amp;"*"),MAXIFS(Investment!$M:$M,Investment!$H:$H,LEFT($P658,30)&amp;"*"),),)</f>
        <v/>
      </c>
      <c r="O658" s="177" t="str">
        <f>IF($P658&lt;&gt;"",IF(MAXIFS(Investment!$AI:$AI,Investment!$H:$H,LEFT($P658,30)&amp;"*"),MAXIFS(Investment!$AI:$AI,Investment!$H:$H,LEFT($P658,30)&amp;"*"),),)</f>
        <v/>
      </c>
      <c r="P658" s="321"/>
      <c r="R658" s="236"/>
    </row>
    <row r="659" ht="1.5" customHeight="1">
      <c r="A659" s="165">
        <v>42845.0</v>
      </c>
      <c r="B659" s="55" t="s">
        <v>127</v>
      </c>
      <c r="C659" s="308" t="s">
        <v>130</v>
      </c>
      <c r="D659" s="55" t="s">
        <v>307</v>
      </c>
      <c r="E659" s="55"/>
      <c r="F659" s="169"/>
      <c r="G659" s="170">
        <v>4.9</v>
      </c>
      <c r="H659" s="321" t="str">
        <f t="shared" si="657"/>
        <v>iShares 7-10 Year Treasury Bond ETF@DIVIDEND@@4.9</v>
      </c>
      <c r="I659" s="171" t="str">
        <f t="shared" ref="I659:J659" si="665">IFS(AND($B659&lt;&gt;"",$E659&lt;&gt;""),IF(INDEX(N:N,MATCH($C659,$P:$P,0),1)&lt;&gt;"",$E659*INDEX(N:N,MATCH($C659,$P:$P,0),1)+$G659,""),AND($B659&lt;&gt;"",$D659="COST",$G659&lt;0),$G659,TRUE,)</f>
        <v/>
      </c>
      <c r="J659" s="171" t="str">
        <f t="shared" si="665"/>
        <v/>
      </c>
      <c r="K659" s="309" t="str">
        <f t="shared" si="3"/>
        <v>iShares 7-10 Year Treasury Bond ETF</v>
      </c>
      <c r="L659" s="143">
        <f t="shared" si="4"/>
        <v>0</v>
      </c>
      <c r="M659" s="143">
        <f t="shared" si="5"/>
        <v>-345.82</v>
      </c>
      <c r="N659" s="176" t="str">
        <f>IF($P659&lt;&gt;"",IF(MAXIFS(Investment!$M:$M,Investment!$H:$H,LEFT($P659,30)&amp;"*"),MAXIFS(Investment!$M:$M,Investment!$H:$H,LEFT($P659,30)&amp;"*"),),)</f>
        <v/>
      </c>
      <c r="O659" s="177" t="str">
        <f>IF($P659&lt;&gt;"",IF(MAXIFS(Investment!$AI:$AI,Investment!$H:$H,LEFT($P659,30)&amp;"*"),MAXIFS(Investment!$AI:$AI,Investment!$H:$H,LEFT($P659,30)&amp;"*"),),)</f>
        <v/>
      </c>
      <c r="P659" s="321"/>
      <c r="R659" s="236"/>
    </row>
    <row r="660">
      <c r="A660" s="165">
        <v>42836.0</v>
      </c>
      <c r="B660" s="55" t="s">
        <v>134</v>
      </c>
      <c r="C660" s="308" t="s">
        <v>137</v>
      </c>
      <c r="D660" s="55" t="s">
        <v>307</v>
      </c>
      <c r="E660" s="55"/>
      <c r="F660" s="169"/>
      <c r="G660" s="170">
        <v>56.77</v>
      </c>
      <c r="H660" s="321" t="str">
        <f t="shared" si="657"/>
        <v>Vanguard Extended Duration Treasury ETF@DIVIDEND@@56.77</v>
      </c>
      <c r="I660" s="171" t="str">
        <f t="shared" ref="I660:J660" si="666">IFS(AND($B660&lt;&gt;"",$E660&lt;&gt;""),IF(INDEX(N:N,MATCH($C660,$P:$P,0),1)&lt;&gt;"",$E660*INDEX(N:N,MATCH($C660,$P:$P,0),1)+$G660,""),AND($B660&lt;&gt;"",$D660="COST",$G660&lt;0),$G660,TRUE,)</f>
        <v/>
      </c>
      <c r="J660" s="171" t="str">
        <f t="shared" si="666"/>
        <v/>
      </c>
      <c r="K660" s="309" t="str">
        <f t="shared" si="3"/>
        <v>Vanguard Extended Duration Treasury ETF</v>
      </c>
      <c r="L660" s="143">
        <f t="shared" si="4"/>
        <v>0</v>
      </c>
      <c r="M660" s="143">
        <f t="shared" si="5"/>
        <v>-4857.35</v>
      </c>
      <c r="N660" s="176" t="str">
        <f>IF($P660&lt;&gt;"",IF(MAXIFS(Investment!$M:$M,Investment!$H:$H,LEFT($P660,30)&amp;"*"),MAXIFS(Investment!$M:$M,Investment!$H:$H,LEFT($P660,30)&amp;"*"),),)</f>
        <v/>
      </c>
      <c r="O660" s="177" t="str">
        <f>IF($P660&lt;&gt;"",IF(MAXIFS(Investment!$AI:$AI,Investment!$H:$H,LEFT($P660,30)&amp;"*"),MAXIFS(Investment!$AI:$AI,Investment!$H:$H,LEFT($P660,30)&amp;"*"),),)</f>
        <v/>
      </c>
      <c r="P660" s="310"/>
      <c r="R660" s="52"/>
    </row>
    <row r="661" ht="1.5" customHeight="1">
      <c r="A661" s="165">
        <v>42835.0</v>
      </c>
      <c r="B661" s="55" t="s">
        <v>138</v>
      </c>
      <c r="C661" s="308" t="s">
        <v>141</v>
      </c>
      <c r="D661" s="55" t="s">
        <v>307</v>
      </c>
      <c r="E661" s="55"/>
      <c r="F661" s="169"/>
      <c r="G661" s="170">
        <v>29.55</v>
      </c>
      <c r="H661" s="321" t="str">
        <f t="shared" si="657"/>
        <v>Vanguard Total Stock Market ETF@DIVIDEND@@29.55</v>
      </c>
      <c r="I661" s="171" t="str">
        <f t="shared" ref="I661:J661" si="667">IFS(AND($B661&lt;&gt;"",$E661&lt;&gt;""),IF(INDEX(N:N,MATCH($C661,$P:$P,0),1)&lt;&gt;"",$E661*INDEX(N:N,MATCH($C661,$P:$P,0),1)+$G661,""),AND($B661&lt;&gt;"",$D661="COST",$G661&lt;0),$G661,TRUE,)</f>
        <v/>
      </c>
      <c r="J661" s="171" t="str">
        <f t="shared" si="667"/>
        <v/>
      </c>
      <c r="K661" s="309" t="str">
        <f t="shared" si="3"/>
        <v>Vanguard Total Stock Market ETF</v>
      </c>
      <c r="L661" s="143">
        <f t="shared" si="4"/>
        <v>0</v>
      </c>
      <c r="M661" s="143">
        <f t="shared" si="5"/>
        <v>1880.34</v>
      </c>
      <c r="N661" s="176" t="str">
        <f>IF($P661&lt;&gt;"",IF(MAXIFS(Investment!$M:$M,Investment!$H:$H,LEFT($P661,30)&amp;"*"),MAXIFS(Investment!$M:$M,Investment!$H:$H,LEFT($P661,30)&amp;"*"),),)</f>
        <v/>
      </c>
      <c r="O661" s="177" t="str">
        <f>IF($P661&lt;&gt;"",IF(MAXIFS(Investment!$AI:$AI,Investment!$H:$H,LEFT($P661,30)&amp;"*"),MAXIFS(Investment!$AI:$AI,Investment!$H:$H,LEFT($P661,30)&amp;"*"),),)</f>
        <v/>
      </c>
      <c r="P661" s="310"/>
      <c r="R661" s="52"/>
    </row>
    <row r="662" ht="1.5" customHeight="1">
      <c r="A662" s="165">
        <v>42829.0</v>
      </c>
      <c r="B662" s="154"/>
      <c r="C662" s="329"/>
      <c r="D662" s="55" t="s">
        <v>301</v>
      </c>
      <c r="E662" s="154"/>
      <c r="F662" s="169"/>
      <c r="G662" s="170">
        <v>-0.16</v>
      </c>
      <c r="H662" s="321" t="str">
        <f t="shared" si="657"/>
        <v>@COST@@-0.16</v>
      </c>
      <c r="I662" s="171" t="str">
        <f t="shared" ref="I662:J662" si="668">IFS(AND($B662&lt;&gt;"",$E662&lt;&gt;""),IF(INDEX(N:N,MATCH($C662,$P:$P,0),1)&lt;&gt;"",$E662*INDEX(N:N,MATCH($C662,$P:$P,0),1)+$G662,""),AND($B662&lt;&gt;"",$D662="COST",$G662&lt;0),$G662,TRUE,)</f>
        <v/>
      </c>
      <c r="J662" s="171" t="str">
        <f t="shared" si="668"/>
        <v/>
      </c>
      <c r="K662" s="309" t="str">
        <f t="shared" si="3"/>
        <v/>
      </c>
      <c r="L662" s="143" t="str">
        <f t="shared" si="4"/>
        <v/>
      </c>
      <c r="M662" s="143" t="str">
        <f t="shared" si="5"/>
        <v/>
      </c>
      <c r="N662" s="176" t="str">
        <f>IF($P662&lt;&gt;"",IF(MAXIFS(Investment!$M:$M,Investment!$H:$H,LEFT($P662,30)&amp;"*"),MAXIFS(Investment!$M:$M,Investment!$H:$H,LEFT($P662,30)&amp;"*"),),)</f>
        <v/>
      </c>
      <c r="O662" s="177" t="str">
        <f>IF($P662&lt;&gt;"",IF(MAXIFS(Investment!$AI:$AI,Investment!$H:$H,LEFT($P662,30)&amp;"*"),MAXIFS(Investment!$AI:$AI,Investment!$H:$H,LEFT($P662,30)&amp;"*"),),)</f>
        <v/>
      </c>
      <c r="P662" s="310"/>
      <c r="R662" s="52"/>
    </row>
    <row r="663" ht="1.5" customHeight="1">
      <c r="A663" s="165">
        <v>42803.0</v>
      </c>
      <c r="B663" s="55" t="s">
        <v>127</v>
      </c>
      <c r="C663" s="308" t="s">
        <v>130</v>
      </c>
      <c r="D663" s="55" t="s">
        <v>307</v>
      </c>
      <c r="E663" s="55"/>
      <c r="F663" s="169"/>
      <c r="G663" s="170">
        <v>4.5</v>
      </c>
      <c r="H663" s="321" t="str">
        <f t="shared" si="657"/>
        <v>iShares 7-10 Year Treasury Bond ETF@DIVIDEND@@4.5</v>
      </c>
      <c r="I663" s="171" t="str">
        <f t="shared" ref="I663:J663" si="669">IFS(AND($B663&lt;&gt;"",$E663&lt;&gt;""),IF(INDEX(N:N,MATCH($C663,$P:$P,0),1)&lt;&gt;"",$E663*INDEX(N:N,MATCH($C663,$P:$P,0),1)+$G663,""),AND($B663&lt;&gt;"",$D663="COST",$G663&lt;0),$G663,TRUE,)</f>
        <v/>
      </c>
      <c r="J663" s="171" t="str">
        <f t="shared" si="669"/>
        <v/>
      </c>
      <c r="K663" s="309" t="str">
        <f t="shared" si="3"/>
        <v>iShares 7-10 Year Treasury Bond ETF</v>
      </c>
      <c r="L663" s="143">
        <f t="shared" si="4"/>
        <v>0</v>
      </c>
      <c r="M663" s="143">
        <f t="shared" si="5"/>
        <v>-345.82</v>
      </c>
      <c r="N663" s="176" t="str">
        <f>IF($P663&lt;&gt;"",IF(MAXIFS(Investment!$M:$M,Investment!$H:$H,LEFT($P663,30)&amp;"*"),MAXIFS(Investment!$M:$M,Investment!$H:$H,LEFT($P663,30)&amp;"*"),),)</f>
        <v/>
      </c>
      <c r="O663" s="177" t="str">
        <f>IF($P663&lt;&gt;"",IF(MAXIFS(Investment!$AI:$AI,Investment!$H:$H,LEFT($P663,30)&amp;"*"),MAXIFS(Investment!$AI:$AI,Investment!$H:$H,LEFT($P663,30)&amp;"*"),),)</f>
        <v/>
      </c>
      <c r="P663" s="310"/>
      <c r="R663" s="52"/>
    </row>
    <row r="664">
      <c r="A664" s="165">
        <v>42787.0</v>
      </c>
      <c r="B664" s="55" t="s">
        <v>134</v>
      </c>
      <c r="C664" s="308" t="s">
        <v>137</v>
      </c>
      <c r="D664" s="55" t="s">
        <v>332</v>
      </c>
      <c r="E664" s="55">
        <v>23.0</v>
      </c>
      <c r="F664" s="169">
        <v>105.6173</v>
      </c>
      <c r="G664" s="170">
        <v>-2437.7</v>
      </c>
      <c r="H664" s="321" t="str">
        <f t="shared" si="657"/>
        <v>Vanguard Extended Duration Treasury ETF@BUY@23@-2437.7</v>
      </c>
      <c r="I664" s="171" t="str">
        <f t="shared" ref="I664:J664" si="670">IFS(AND($B664&lt;&gt;"",$E664&lt;&gt;""),IF(INDEX(N:N,MATCH($C664,$P:$P,0),1)&lt;&gt;"",$E664*INDEX(N:N,MATCH($C664,$P:$P,0),1)+$G664,""),AND($B664&lt;&gt;"",$D664="COST",$G664&lt;0),$G664,TRUE,)</f>
        <v/>
      </c>
      <c r="J664" s="171" t="str">
        <f t="shared" si="670"/>
        <v/>
      </c>
      <c r="K664" s="309" t="str">
        <f t="shared" si="3"/>
        <v>Vanguard Extended Duration Treasury ETF</v>
      </c>
      <c r="L664" s="143">
        <f t="shared" si="4"/>
        <v>0</v>
      </c>
      <c r="M664" s="143">
        <f t="shared" si="5"/>
        <v>-4857.35</v>
      </c>
      <c r="N664" s="176" t="str">
        <f>IF($P664&lt;&gt;"",IF(MAXIFS(Investment!$M:$M,Investment!$H:$H,LEFT($P664,30)&amp;"*"),MAXIFS(Investment!$M:$M,Investment!$H:$H,LEFT($P664,30)&amp;"*"),),)</f>
        <v/>
      </c>
      <c r="O664" s="177" t="str">
        <f>IF($P664&lt;&gt;"",IF(MAXIFS(Investment!$AI:$AI,Investment!$H:$H,LEFT($P664,30)&amp;"*"),MAXIFS(Investment!$AI:$AI,Investment!$H:$H,LEFT($P664,30)&amp;"*"),),)</f>
        <v/>
      </c>
      <c r="P664" s="310"/>
      <c r="R664" s="52"/>
    </row>
    <row r="665">
      <c r="A665" s="165">
        <v>42787.0</v>
      </c>
      <c r="B665" s="55" t="s">
        <v>138</v>
      </c>
      <c r="C665" s="308" t="s">
        <v>141</v>
      </c>
      <c r="D665" s="55" t="s">
        <v>280</v>
      </c>
      <c r="E665" s="55">
        <v>-16.0</v>
      </c>
      <c r="F665" s="169">
        <v>114.4055</v>
      </c>
      <c r="G665" s="170">
        <v>1821.99</v>
      </c>
      <c r="H665" s="321" t="str">
        <f t="shared" si="657"/>
        <v>Vanguard Total Stock Market ETF@SELL@-16@1821.99</v>
      </c>
      <c r="I665" s="171" t="str">
        <f t="shared" ref="I665:J665" si="671">IFS(AND($B665&lt;&gt;"",$E665&lt;&gt;""),IF(INDEX(N:N,MATCH($C665,$P:$P,0),1)&lt;&gt;"",$E665*INDEX(N:N,MATCH($C665,$P:$P,0),1)+$G665,""),AND($B665&lt;&gt;"",$D665="COST",$G665&lt;0),$G665,TRUE,)</f>
        <v/>
      </c>
      <c r="J665" s="171" t="str">
        <f t="shared" si="671"/>
        <v/>
      </c>
      <c r="K665" s="309" t="str">
        <f t="shared" si="3"/>
        <v>Vanguard Total Stock Market ETF</v>
      </c>
      <c r="L665" s="143">
        <f t="shared" si="4"/>
        <v>0</v>
      </c>
      <c r="M665" s="143">
        <f t="shared" si="5"/>
        <v>1880.34</v>
      </c>
      <c r="N665" s="176" t="str">
        <f>IF($P665&lt;&gt;"",IF(MAXIFS(Investment!$M:$M,Investment!$H:$H,LEFT($P665,30)&amp;"*"),MAXIFS(Investment!$M:$M,Investment!$H:$H,LEFT($P665,30)&amp;"*"),),)</f>
        <v/>
      </c>
      <c r="O665" s="177" t="str">
        <f>IF($P665&lt;&gt;"",IF(MAXIFS(Investment!$AI:$AI,Investment!$H:$H,LEFT($P665,30)&amp;"*"),MAXIFS(Investment!$AI:$AI,Investment!$H:$H,LEFT($P665,30)&amp;"*"),),)</f>
        <v/>
      </c>
      <c r="P665" s="310"/>
      <c r="R665" s="52"/>
    </row>
    <row r="666">
      <c r="A666" s="165">
        <v>42776.0</v>
      </c>
      <c r="B666" s="55" t="s">
        <v>127</v>
      </c>
      <c r="C666" s="308" t="s">
        <v>130</v>
      </c>
      <c r="D666" s="55" t="s">
        <v>307</v>
      </c>
      <c r="E666" s="55"/>
      <c r="F666" s="169"/>
      <c r="G666" s="170">
        <v>4.87</v>
      </c>
      <c r="H666" s="321" t="str">
        <f t="shared" si="657"/>
        <v>iShares 7-10 Year Treasury Bond ETF@DIVIDEND@@4.87</v>
      </c>
      <c r="I666" s="171" t="str">
        <f t="shared" ref="I666:J666" si="672">IFS(AND($B666&lt;&gt;"",$E666&lt;&gt;""),IF(INDEX(N:N,MATCH($C666,$P:$P,0),1)&lt;&gt;"",$E666*INDEX(N:N,MATCH($C666,$P:$P,0),1)+$G666,""),AND($B666&lt;&gt;"",$D666="COST",$G666&lt;0),$G666,TRUE,)</f>
        <v/>
      </c>
      <c r="J666" s="171" t="str">
        <f t="shared" si="672"/>
        <v/>
      </c>
      <c r="K666" s="309" t="str">
        <f t="shared" si="3"/>
        <v>iShares 7-10 Year Treasury Bond ETF</v>
      </c>
      <c r="L666" s="143">
        <f t="shared" si="4"/>
        <v>0</v>
      </c>
      <c r="M666" s="143">
        <f t="shared" si="5"/>
        <v>-345.82</v>
      </c>
      <c r="N666" s="176" t="str">
        <f>IF($P666&lt;&gt;"",IF(MAXIFS(Investment!$M:$M,Investment!$H:$H,LEFT($P666,30)&amp;"*"),MAXIFS(Investment!$M:$M,Investment!$H:$H,LEFT($P666,30)&amp;"*"),),)</f>
        <v/>
      </c>
      <c r="O666" s="177" t="str">
        <f>IF($P666&lt;&gt;"",IF(MAXIFS(Investment!$AI:$AI,Investment!$H:$H,LEFT($P666,30)&amp;"*"),MAXIFS(Investment!$AI:$AI,Investment!$H:$H,LEFT($P666,30)&amp;"*"),),)</f>
        <v/>
      </c>
      <c r="P666" s="310"/>
      <c r="R666" s="52"/>
    </row>
    <row r="667">
      <c r="A667" s="165">
        <v>42739.0</v>
      </c>
      <c r="B667" s="154"/>
      <c r="C667" s="329"/>
      <c r="D667" s="55" t="s">
        <v>301</v>
      </c>
      <c r="E667" s="154"/>
      <c r="F667" s="169"/>
      <c r="G667" s="170">
        <v>-0.18</v>
      </c>
      <c r="H667" s="321" t="str">
        <f t="shared" si="657"/>
        <v>@COST@@-0.18</v>
      </c>
      <c r="I667" s="171" t="str">
        <f t="shared" ref="I667:J667" si="673">IFS(AND($B667&lt;&gt;"",$E667&lt;&gt;""),IF(INDEX(N:N,MATCH($C667,$P:$P,0),1)&lt;&gt;"",$E667*INDEX(N:N,MATCH($C667,$P:$P,0),1)+$G667,""),AND($B667&lt;&gt;"",$D667="COST",$G667&lt;0),$G667,TRUE,)</f>
        <v/>
      </c>
      <c r="J667" s="171" t="str">
        <f t="shared" si="673"/>
        <v/>
      </c>
      <c r="K667" s="309" t="str">
        <f t="shared" si="3"/>
        <v/>
      </c>
      <c r="L667" s="143" t="str">
        <f t="shared" si="4"/>
        <v/>
      </c>
      <c r="M667" s="143" t="str">
        <f t="shared" si="5"/>
        <v/>
      </c>
      <c r="N667" s="176" t="str">
        <f>IF($P667&lt;&gt;"",IF(MAXIFS(Investment!$M:$M,Investment!$H:$H,LEFT($P667,30)&amp;"*"),MAXIFS(Investment!$M:$M,Investment!$H:$H,LEFT($P667,30)&amp;"*"),),)</f>
        <v/>
      </c>
      <c r="O667" s="177" t="str">
        <f>IF($P667&lt;&gt;"",IF(MAXIFS(Investment!$AI:$AI,Investment!$H:$H,LEFT($P667,30)&amp;"*"),MAXIFS(Investment!$AI:$AI,Investment!$H:$H,LEFT($P667,30)&amp;"*"),),)</f>
        <v/>
      </c>
      <c r="P667" s="310"/>
      <c r="R667" s="52"/>
    </row>
    <row r="668">
      <c r="A668" s="165">
        <v>42738.0</v>
      </c>
      <c r="B668" s="55" t="s">
        <v>127</v>
      </c>
      <c r="C668" s="308" t="s">
        <v>130</v>
      </c>
      <c r="D668" s="55" t="s">
        <v>307</v>
      </c>
      <c r="E668" s="55"/>
      <c r="F668" s="169"/>
      <c r="G668" s="170">
        <v>5.12</v>
      </c>
      <c r="H668" s="321" t="str">
        <f t="shared" si="657"/>
        <v>iShares 7-10 Year Treasury Bond ETF@DIVIDEND@@5.12</v>
      </c>
      <c r="I668" s="171" t="str">
        <f t="shared" ref="I668:J668" si="674">IFS(AND($B668&lt;&gt;"",$E668&lt;&gt;""),IF(INDEX(N:N,MATCH($C668,$P:$P,0),1)&lt;&gt;"",$E668*INDEX(N:N,MATCH($C668,$P:$P,0),1)+$G668,""),AND($B668&lt;&gt;"",$D668="COST",$G668&lt;0),$G668,TRUE,)</f>
        <v/>
      </c>
      <c r="J668" s="171" t="str">
        <f t="shared" si="674"/>
        <v/>
      </c>
      <c r="K668" s="309" t="str">
        <f t="shared" si="3"/>
        <v>iShares 7-10 Year Treasury Bond ETF</v>
      </c>
      <c r="L668" s="143">
        <f t="shared" si="4"/>
        <v>0</v>
      </c>
      <c r="M668" s="143">
        <f t="shared" si="5"/>
        <v>-345.82</v>
      </c>
      <c r="N668" s="176" t="str">
        <f>IF($P668&lt;&gt;"",IF(MAXIFS(Investment!$M:$M,Investment!$H:$H,LEFT($P668,30)&amp;"*"),MAXIFS(Investment!$M:$M,Investment!$H:$H,LEFT($P668,30)&amp;"*"),),)</f>
        <v/>
      </c>
      <c r="O668" s="177" t="str">
        <f>IF($P668&lt;&gt;"",IF(MAXIFS(Investment!$AI:$AI,Investment!$H:$H,LEFT($P668,30)&amp;"*"),MAXIFS(Investment!$AI:$AI,Investment!$H:$H,LEFT($P668,30)&amp;"*"),),)</f>
        <v/>
      </c>
      <c r="P668" s="310"/>
      <c r="R668" s="52"/>
    </row>
    <row r="669">
      <c r="A669" s="165">
        <v>42737.0</v>
      </c>
      <c r="B669" s="55" t="s">
        <v>134</v>
      </c>
      <c r="C669" s="308" t="s">
        <v>137</v>
      </c>
      <c r="D669" s="55" t="s">
        <v>307</v>
      </c>
      <c r="E669" s="55"/>
      <c r="F669" s="169"/>
      <c r="G669" s="170">
        <v>2.51</v>
      </c>
      <c r="H669" s="321" t="str">
        <f t="shared" si="657"/>
        <v>Vanguard Extended Duration Treasury ETF@DIVIDEND@@2.51</v>
      </c>
      <c r="I669" s="171" t="str">
        <f t="shared" ref="I669:J669" si="675">IFS(AND($B669&lt;&gt;"",$E669&lt;&gt;""),IF(INDEX(N:N,MATCH($C669,$P:$P,0),1)&lt;&gt;"",$E669*INDEX(N:N,MATCH($C669,$P:$P,0),1)+$G669,""),AND($B669&lt;&gt;"",$D669="COST",$G669&lt;0),$G669,TRUE,)</f>
        <v/>
      </c>
      <c r="J669" s="171" t="str">
        <f t="shared" si="675"/>
        <v/>
      </c>
      <c r="K669" s="309" t="str">
        <f t="shared" si="3"/>
        <v>Vanguard Extended Duration Treasury ETF</v>
      </c>
      <c r="L669" s="143">
        <f t="shared" si="4"/>
        <v>0</v>
      </c>
      <c r="M669" s="143">
        <f t="shared" si="5"/>
        <v>-4857.35</v>
      </c>
      <c r="N669" s="176" t="str">
        <f>IF($P669&lt;&gt;"",IF(MAXIFS(Investment!$M:$M,Investment!$H:$H,LEFT($P669,30)&amp;"*"),MAXIFS(Investment!$M:$M,Investment!$H:$H,LEFT($P669,30)&amp;"*"),),)</f>
        <v/>
      </c>
      <c r="O669" s="177" t="str">
        <f>IF($P669&lt;&gt;"",IF(MAXIFS(Investment!$AI:$AI,Investment!$H:$H,LEFT($P669,30)&amp;"*"),MAXIFS(Investment!$AI:$AI,Investment!$H:$H,LEFT($P669,30)&amp;"*"),),)</f>
        <v/>
      </c>
      <c r="P669" s="310"/>
      <c r="R669" s="52"/>
    </row>
    <row r="670">
      <c r="A670" s="165">
        <v>42737.0</v>
      </c>
      <c r="B670" s="55" t="s">
        <v>134</v>
      </c>
      <c r="C670" s="308" t="s">
        <v>137</v>
      </c>
      <c r="D670" s="55" t="s">
        <v>307</v>
      </c>
      <c r="E670" s="55"/>
      <c r="F670" s="169"/>
      <c r="G670" s="170">
        <v>230.23</v>
      </c>
      <c r="H670" s="321" t="str">
        <f t="shared" si="657"/>
        <v>Vanguard Extended Duration Treasury ETF@DIVIDEND@@230.23</v>
      </c>
      <c r="I670" s="171" t="str">
        <f t="shared" ref="I670:J670" si="676">IFS(AND($B670&lt;&gt;"",$E670&lt;&gt;""),IF(INDEX(N:N,MATCH($C670,$P:$P,0),1)&lt;&gt;"",$E670*INDEX(N:N,MATCH($C670,$P:$P,0),1)+$G670,""),AND($B670&lt;&gt;"",$D670="COST",$G670&lt;0),$G670,TRUE,)</f>
        <v/>
      </c>
      <c r="J670" s="171" t="str">
        <f t="shared" si="676"/>
        <v/>
      </c>
      <c r="K670" s="309" t="str">
        <f t="shared" si="3"/>
        <v>Vanguard Extended Duration Treasury ETF</v>
      </c>
      <c r="L670" s="143">
        <f t="shared" si="4"/>
        <v>0</v>
      </c>
      <c r="M670" s="143">
        <f t="shared" si="5"/>
        <v>-4857.35</v>
      </c>
      <c r="N670" s="176" t="str">
        <f>IF($P670&lt;&gt;"",IF(MAXIFS(Investment!$M:$M,Investment!$H:$H,LEFT($P670,30)&amp;"*"),MAXIFS(Investment!$M:$M,Investment!$H:$H,LEFT($P670,30)&amp;"*"),),)</f>
        <v/>
      </c>
      <c r="O670" s="177" t="str">
        <f>IF($P670&lt;&gt;"",IF(MAXIFS(Investment!$AI:$AI,Investment!$H:$H,LEFT($P670,30)&amp;"*"),MAXIFS(Investment!$AI:$AI,Investment!$H:$H,LEFT($P670,30)&amp;"*"),),)</f>
        <v/>
      </c>
      <c r="P670" s="310"/>
      <c r="R670" s="52"/>
    </row>
    <row r="671">
      <c r="A671" s="165">
        <v>42733.0</v>
      </c>
      <c r="B671" s="55" t="s">
        <v>134</v>
      </c>
      <c r="C671" s="308" t="s">
        <v>137</v>
      </c>
      <c r="D671" s="55" t="s">
        <v>307</v>
      </c>
      <c r="E671" s="55"/>
      <c r="F671" s="169"/>
      <c r="G671" s="170">
        <v>71.1</v>
      </c>
      <c r="H671" s="321" t="str">
        <f t="shared" si="657"/>
        <v>Vanguard Extended Duration Treasury ETF@DIVIDEND@@71.1</v>
      </c>
      <c r="I671" s="171" t="str">
        <f t="shared" ref="I671:J671" si="677">IFS(AND($B671&lt;&gt;"",$E671&lt;&gt;""),IF(INDEX(N:N,MATCH($C671,$P:$P,0),1)&lt;&gt;"",$E671*INDEX(N:N,MATCH($C671,$P:$P,0),1)+$G671,""),AND($B671&lt;&gt;"",$D671="COST",$G671&lt;0),$G671,TRUE,)</f>
        <v/>
      </c>
      <c r="J671" s="171" t="str">
        <f t="shared" si="677"/>
        <v/>
      </c>
      <c r="K671" s="309" t="str">
        <f t="shared" si="3"/>
        <v>Vanguard Extended Duration Treasury ETF</v>
      </c>
      <c r="L671" s="143">
        <f t="shared" si="4"/>
        <v>0</v>
      </c>
      <c r="M671" s="143">
        <f t="shared" si="5"/>
        <v>-4857.35</v>
      </c>
      <c r="N671" s="176" t="str">
        <f>IF($P671&lt;&gt;"",IF(MAXIFS(Investment!$M:$M,Investment!$H:$H,LEFT($P671,30)&amp;"*"),MAXIFS(Investment!$M:$M,Investment!$H:$H,LEFT($P671,30)&amp;"*"),),)</f>
        <v/>
      </c>
      <c r="O671" s="177" t="str">
        <f>IF($P671&lt;&gt;"",IF(MAXIFS(Investment!$AI:$AI,Investment!$H:$H,LEFT($P671,30)&amp;"*"),MAXIFS(Investment!$AI:$AI,Investment!$H:$H,LEFT($P671,30)&amp;"*"),),)</f>
        <v/>
      </c>
      <c r="P671" s="310"/>
      <c r="R671" s="52"/>
    </row>
    <row r="672">
      <c r="A672" s="165">
        <v>42733.0</v>
      </c>
      <c r="B672" s="55" t="s">
        <v>138</v>
      </c>
      <c r="C672" s="308" t="s">
        <v>141</v>
      </c>
      <c r="D672" s="55" t="s">
        <v>307</v>
      </c>
      <c r="E672" s="55"/>
      <c r="F672" s="169"/>
      <c r="G672" s="170">
        <v>46.16</v>
      </c>
      <c r="H672" s="321" t="str">
        <f t="shared" si="657"/>
        <v>Vanguard Total Stock Market ETF@DIVIDEND@@46.16</v>
      </c>
      <c r="I672" s="171" t="str">
        <f t="shared" ref="I672:J672" si="678">IFS(AND($B672&lt;&gt;"",$E672&lt;&gt;""),IF(INDEX(N:N,MATCH($C672,$P:$P,0),1)&lt;&gt;"",$E672*INDEX(N:N,MATCH($C672,$P:$P,0),1)+$G672,""),AND($B672&lt;&gt;"",$D672="COST",$G672&lt;0),$G672,TRUE,)</f>
        <v/>
      </c>
      <c r="J672" s="171" t="str">
        <f t="shared" si="678"/>
        <v/>
      </c>
      <c r="K672" s="309" t="str">
        <f t="shared" si="3"/>
        <v>Vanguard Total Stock Market ETF</v>
      </c>
      <c r="L672" s="143">
        <f t="shared" si="4"/>
        <v>0</v>
      </c>
      <c r="M672" s="143">
        <f t="shared" si="5"/>
        <v>1880.34</v>
      </c>
      <c r="N672" s="176" t="str">
        <f>IF($P672&lt;&gt;"",IF(MAXIFS(Investment!$M:$M,Investment!$H:$H,LEFT($P672,30)&amp;"*"),MAXIFS(Investment!$M:$M,Investment!$H:$H,LEFT($P672,30)&amp;"*"),),)</f>
        <v/>
      </c>
      <c r="O672" s="177" t="str">
        <f>IF($P672&lt;&gt;"",IF(MAXIFS(Investment!$AI:$AI,Investment!$H:$H,LEFT($P672,30)&amp;"*"),MAXIFS(Investment!$AI:$AI,Investment!$H:$H,LEFT($P672,30)&amp;"*"),),)</f>
        <v/>
      </c>
      <c r="P672" s="310"/>
      <c r="R672" s="52"/>
    </row>
    <row r="673">
      <c r="A673" s="165">
        <v>42713.0</v>
      </c>
      <c r="B673" s="55" t="s">
        <v>127</v>
      </c>
      <c r="C673" s="308" t="s">
        <v>130</v>
      </c>
      <c r="D673" s="55" t="s">
        <v>307</v>
      </c>
      <c r="E673" s="55"/>
      <c r="F673" s="169"/>
      <c r="G673" s="170">
        <v>4.57</v>
      </c>
      <c r="H673" s="321" t="str">
        <f t="shared" si="657"/>
        <v>iShares 7-10 Year Treasury Bond ETF@DIVIDEND@@4.57</v>
      </c>
      <c r="I673" s="171" t="str">
        <f t="shared" ref="I673:J673" si="679">IFS(AND($B673&lt;&gt;"",$E673&lt;&gt;""),IF(INDEX(N:N,MATCH($C673,$P:$P,0),1)&lt;&gt;"",$E673*INDEX(N:N,MATCH($C673,$P:$P,0),1)+$G673,""),AND($B673&lt;&gt;"",$D673="COST",$G673&lt;0),$G673,TRUE,)</f>
        <v/>
      </c>
      <c r="J673" s="171" t="str">
        <f t="shared" si="679"/>
        <v/>
      </c>
      <c r="K673" s="309" t="str">
        <f t="shared" si="3"/>
        <v>iShares 7-10 Year Treasury Bond ETF</v>
      </c>
      <c r="L673" s="143">
        <f t="shared" si="4"/>
        <v>0</v>
      </c>
      <c r="M673" s="143">
        <f t="shared" si="5"/>
        <v>-345.82</v>
      </c>
      <c r="N673" s="176" t="str">
        <f>IF($P673&lt;&gt;"",IF(MAXIFS(Investment!$M:$M,Investment!$H:$H,LEFT($P673,30)&amp;"*"),MAXIFS(Investment!$M:$M,Investment!$H:$H,LEFT($P673,30)&amp;"*"),),)</f>
        <v/>
      </c>
      <c r="O673" s="177" t="str">
        <f>IF($P673&lt;&gt;"",IF(MAXIFS(Investment!$AI:$AI,Investment!$H:$H,LEFT($P673,30)&amp;"*"),MAXIFS(Investment!$AI:$AI,Investment!$H:$H,LEFT($P673,30)&amp;"*"),),)</f>
        <v/>
      </c>
      <c r="P673" s="310"/>
      <c r="R673" s="52"/>
    </row>
    <row r="674">
      <c r="A674" s="165">
        <v>42683.0</v>
      </c>
      <c r="B674" s="55" t="s">
        <v>127</v>
      </c>
      <c r="C674" s="308" t="s">
        <v>130</v>
      </c>
      <c r="D674" s="55" t="s">
        <v>307</v>
      </c>
      <c r="E674" s="55"/>
      <c r="F674" s="169"/>
      <c r="G674" s="170">
        <v>4.57</v>
      </c>
      <c r="H674" s="321" t="str">
        <f t="shared" si="657"/>
        <v>iShares 7-10 Year Treasury Bond ETF@DIVIDEND@@4.57</v>
      </c>
      <c r="I674" s="171" t="str">
        <f t="shared" ref="I674:J674" si="680">IFS(AND($B674&lt;&gt;"",$E674&lt;&gt;""),IF(INDEX(N:N,MATCH($C674,$P:$P,0),1)&lt;&gt;"",$E674*INDEX(N:N,MATCH($C674,$P:$P,0),1)+$G674,""),AND($B674&lt;&gt;"",$D674="COST",$G674&lt;0),$G674,TRUE,)</f>
        <v/>
      </c>
      <c r="J674" s="171" t="str">
        <f t="shared" si="680"/>
        <v/>
      </c>
      <c r="K674" s="309" t="str">
        <f t="shared" si="3"/>
        <v>iShares 7-10 Year Treasury Bond ETF</v>
      </c>
      <c r="L674" s="143">
        <f t="shared" si="4"/>
        <v>0</v>
      </c>
      <c r="M674" s="143">
        <f t="shared" si="5"/>
        <v>-345.82</v>
      </c>
      <c r="N674" s="176" t="str">
        <f>IF($P674&lt;&gt;"",IF(MAXIFS(Investment!$M:$M,Investment!$H:$H,LEFT($P674,30)&amp;"*"),MAXIFS(Investment!$M:$M,Investment!$H:$H,LEFT($P674,30)&amp;"*"),),)</f>
        <v/>
      </c>
      <c r="O674" s="177" t="str">
        <f>IF($P674&lt;&gt;"",IF(MAXIFS(Investment!$AI:$AI,Investment!$H:$H,LEFT($P674,30)&amp;"*"),MAXIFS(Investment!$AI:$AI,Investment!$H:$H,LEFT($P674,30)&amp;"*"),),)</f>
        <v/>
      </c>
      <c r="P674" s="310"/>
      <c r="R674" s="52"/>
    </row>
    <row r="675">
      <c r="A675" s="165">
        <v>42653.0</v>
      </c>
      <c r="B675" s="154"/>
      <c r="C675" s="329"/>
      <c r="D675" s="330" t="s">
        <v>301</v>
      </c>
      <c r="E675" s="154"/>
      <c r="F675" s="169"/>
      <c r="G675" s="170">
        <v>-0.16</v>
      </c>
      <c r="H675" s="321" t="str">
        <f t="shared" si="657"/>
        <v>@COST@@-0.16</v>
      </c>
      <c r="I675" s="171" t="str">
        <f t="shared" ref="I675:J675" si="681">IFS(AND($B675&lt;&gt;"",$E675&lt;&gt;""),IF(INDEX(N:N,MATCH($C675,$P:$P,0),1)&lt;&gt;"",$E675*INDEX(N:N,MATCH($C675,$P:$P,0),1)+$G675,""),AND($B675&lt;&gt;"",$D675="COST",$G675&lt;0),$G675,TRUE,)</f>
        <v/>
      </c>
      <c r="J675" s="171" t="str">
        <f t="shared" si="681"/>
        <v/>
      </c>
      <c r="K675" s="309" t="str">
        <f t="shared" si="3"/>
        <v/>
      </c>
      <c r="L675" s="143" t="str">
        <f t="shared" si="4"/>
        <v/>
      </c>
      <c r="M675" s="143" t="str">
        <f t="shared" si="5"/>
        <v/>
      </c>
      <c r="N675" s="176" t="str">
        <f>IF($P675&lt;&gt;"",IF(MAXIFS(Investment!$M:$M,Investment!$H:$H,LEFT($P675,30)&amp;"*"),MAXIFS(Investment!$M:$M,Investment!$H:$H,LEFT($P675,30)&amp;"*"),),)</f>
        <v/>
      </c>
      <c r="O675" s="177" t="str">
        <f>IF($P675&lt;&gt;"",IF(MAXIFS(Investment!$AI:$AI,Investment!$H:$H,LEFT($P675,30)&amp;"*"),MAXIFS(Investment!$AI:$AI,Investment!$H:$H,LEFT($P675,30)&amp;"*"),),)</f>
        <v/>
      </c>
      <c r="P675" s="310"/>
      <c r="R675" s="52"/>
    </row>
    <row r="676">
      <c r="A676" s="165">
        <v>42644.0</v>
      </c>
      <c r="B676" s="55" t="s">
        <v>127</v>
      </c>
      <c r="C676" s="308" t="s">
        <v>130</v>
      </c>
      <c r="D676" s="55" t="s">
        <v>307</v>
      </c>
      <c r="E676" s="55"/>
      <c r="F676" s="169"/>
      <c r="G676" s="170">
        <v>4.4</v>
      </c>
      <c r="H676" s="321" t="str">
        <f t="shared" si="657"/>
        <v>iShares 7-10 Year Treasury Bond ETF@DIVIDEND@@4.4</v>
      </c>
      <c r="I676" s="171" t="str">
        <f t="shared" ref="I676:J676" si="682">IFS(AND($B676&lt;&gt;"",$E676&lt;&gt;""),IF(INDEX(N:N,MATCH($C676,$P:$P,0),1)&lt;&gt;"",$E676*INDEX(N:N,MATCH($C676,$P:$P,0),1)+$G676,""),AND($B676&lt;&gt;"",$D676="COST",$G676&lt;0),$G676,TRUE,)</f>
        <v/>
      </c>
      <c r="J676" s="171" t="str">
        <f t="shared" si="682"/>
        <v/>
      </c>
      <c r="K676" s="309" t="str">
        <f t="shared" si="3"/>
        <v>iShares 7-10 Year Treasury Bond ETF</v>
      </c>
      <c r="L676" s="143">
        <f t="shared" si="4"/>
        <v>0</v>
      </c>
      <c r="M676" s="143">
        <f t="shared" si="5"/>
        <v>-345.82</v>
      </c>
      <c r="N676" s="176" t="str">
        <f>IF($P676&lt;&gt;"",IF(MAXIFS(Investment!$M:$M,Investment!$H:$H,LEFT($P676,30)&amp;"*"),MAXIFS(Investment!$M:$M,Investment!$H:$H,LEFT($P676,30)&amp;"*"),),)</f>
        <v/>
      </c>
      <c r="O676" s="177" t="str">
        <f>IF($P676&lt;&gt;"",IF(MAXIFS(Investment!$AI:$AI,Investment!$H:$H,LEFT($P676,30)&amp;"*"),MAXIFS(Investment!$AI:$AI,Investment!$H:$H,LEFT($P676,30)&amp;"*"),),)</f>
        <v/>
      </c>
      <c r="P676" s="310"/>
      <c r="R676" s="52"/>
    </row>
    <row r="677">
      <c r="A677" s="165">
        <v>42641.0</v>
      </c>
      <c r="B677" s="55" t="s">
        <v>134</v>
      </c>
      <c r="C677" s="308" t="s">
        <v>137</v>
      </c>
      <c r="D677" s="55" t="s">
        <v>307</v>
      </c>
      <c r="E677" s="55"/>
      <c r="F677" s="169"/>
      <c r="G677" s="170">
        <v>58.66</v>
      </c>
      <c r="H677" s="321" t="str">
        <f t="shared" si="657"/>
        <v>Vanguard Extended Duration Treasury ETF@DIVIDEND@@58.66</v>
      </c>
      <c r="I677" s="171" t="str">
        <f t="shared" ref="I677:J677" si="683">IFS(AND($B677&lt;&gt;"",$E677&lt;&gt;""),IF(INDEX(N:N,MATCH($C677,$P:$P,0),1)&lt;&gt;"",$E677*INDEX(N:N,MATCH($C677,$P:$P,0),1)+$G677,""),AND($B677&lt;&gt;"",$D677="COST",$G677&lt;0),$G677,TRUE,)</f>
        <v/>
      </c>
      <c r="J677" s="171" t="str">
        <f t="shared" si="683"/>
        <v/>
      </c>
      <c r="K677" s="309" t="str">
        <f t="shared" si="3"/>
        <v>Vanguard Extended Duration Treasury ETF</v>
      </c>
      <c r="L677" s="143">
        <f t="shared" si="4"/>
        <v>0</v>
      </c>
      <c r="M677" s="143">
        <f t="shared" si="5"/>
        <v>-4857.35</v>
      </c>
      <c r="N677" s="176" t="str">
        <f>IF($P677&lt;&gt;"",IF(MAXIFS(Investment!$M:$M,Investment!$H:$H,LEFT($P677,30)&amp;"*"),MAXIFS(Investment!$M:$M,Investment!$H:$H,LEFT($P677,30)&amp;"*"),),)</f>
        <v/>
      </c>
      <c r="O677" s="177" t="str">
        <f>IF($P677&lt;&gt;"",IF(MAXIFS(Investment!$AI:$AI,Investment!$H:$H,LEFT($P677,30)&amp;"*"),MAXIFS(Investment!$AI:$AI,Investment!$H:$H,LEFT($P677,30)&amp;"*"),),)</f>
        <v/>
      </c>
      <c r="P677" s="310"/>
      <c r="R677" s="52"/>
    </row>
    <row r="678">
      <c r="A678" s="165">
        <v>42634.0</v>
      </c>
      <c r="B678" s="55" t="s">
        <v>138</v>
      </c>
      <c r="C678" s="308" t="s">
        <v>141</v>
      </c>
      <c r="D678" s="55" t="s">
        <v>307</v>
      </c>
      <c r="E678" s="55"/>
      <c r="F678" s="169"/>
      <c r="G678" s="170">
        <v>31.85</v>
      </c>
      <c r="H678" s="321" t="str">
        <f t="shared" si="657"/>
        <v>Vanguard Total Stock Market ETF@DIVIDEND@@31.85</v>
      </c>
      <c r="I678" s="171" t="str">
        <f t="shared" ref="I678:J678" si="684">IFS(AND($B678&lt;&gt;"",$E678&lt;&gt;""),IF(INDEX(N:N,MATCH($C678,$P:$P,0),1)&lt;&gt;"",$E678*INDEX(N:N,MATCH($C678,$P:$P,0),1)+$G678,""),AND($B678&lt;&gt;"",$D678="COST",$G678&lt;0),$G678,TRUE,)</f>
        <v/>
      </c>
      <c r="J678" s="171" t="str">
        <f t="shared" si="684"/>
        <v/>
      </c>
      <c r="K678" s="309" t="str">
        <f t="shared" si="3"/>
        <v>Vanguard Total Stock Market ETF</v>
      </c>
      <c r="L678" s="143">
        <f t="shared" si="4"/>
        <v>0</v>
      </c>
      <c r="M678" s="143">
        <f t="shared" si="5"/>
        <v>1880.34</v>
      </c>
      <c r="N678" s="176" t="str">
        <f>IF($P678&lt;&gt;"",IF(MAXIFS(Investment!$M:$M,Investment!$H:$H,LEFT($P678,30)&amp;"*"),MAXIFS(Investment!$M:$M,Investment!$H:$H,LEFT($P678,30)&amp;"*"),),)</f>
        <v/>
      </c>
      <c r="O678" s="177" t="str">
        <f>IF($P678&lt;&gt;"",IF(MAXIFS(Investment!$AI:$AI,Investment!$H:$H,LEFT($P678,30)&amp;"*"),MAXIFS(Investment!$AI:$AI,Investment!$H:$H,LEFT($P678,30)&amp;"*"),),)</f>
        <v/>
      </c>
      <c r="P678" s="310"/>
      <c r="R678" s="52"/>
    </row>
    <row r="679">
      <c r="A679" s="165">
        <v>42632.0</v>
      </c>
      <c r="B679" s="55" t="s">
        <v>127</v>
      </c>
      <c r="C679" s="308" t="s">
        <v>130</v>
      </c>
      <c r="D679" s="55" t="s">
        <v>307</v>
      </c>
      <c r="E679" s="55"/>
      <c r="F679" s="169"/>
      <c r="G679" s="170">
        <v>3.31</v>
      </c>
      <c r="H679" s="321" t="str">
        <f t="shared" si="657"/>
        <v>iShares 7-10 Year Treasury Bond ETF@DIVIDEND@@3.31</v>
      </c>
      <c r="I679" s="171" t="str">
        <f t="shared" ref="I679:J679" si="685">IFS(AND($B679&lt;&gt;"",$E679&lt;&gt;""),IF(INDEX(N:N,MATCH($C679,$P:$P,0),1)&lt;&gt;"",$E679*INDEX(N:N,MATCH($C679,$P:$P,0),1)+$G679,""),AND($B679&lt;&gt;"",$D679="COST",$G679&lt;0),$G679,TRUE,)</f>
        <v/>
      </c>
      <c r="J679" s="171" t="str">
        <f t="shared" si="685"/>
        <v/>
      </c>
      <c r="K679" s="309" t="str">
        <f t="shared" si="3"/>
        <v>iShares 7-10 Year Treasury Bond ETF</v>
      </c>
      <c r="L679" s="143">
        <f t="shared" si="4"/>
        <v>0</v>
      </c>
      <c r="M679" s="143">
        <f t="shared" si="5"/>
        <v>-345.82</v>
      </c>
      <c r="N679" s="176" t="str">
        <f>IF($P679&lt;&gt;"",IF(MAXIFS(Investment!$M:$M,Investment!$H:$H,LEFT($P679,30)&amp;"*"),MAXIFS(Investment!$M:$M,Investment!$H:$H,LEFT($P679,30)&amp;"*"),),)</f>
        <v/>
      </c>
      <c r="O679" s="177" t="str">
        <f>IF($P679&lt;&gt;"",IF(MAXIFS(Investment!$AI:$AI,Investment!$H:$H,LEFT($P679,30)&amp;"*"),MAXIFS(Investment!$AI:$AI,Investment!$H:$H,LEFT($P679,30)&amp;"*"),),)</f>
        <v/>
      </c>
      <c r="P679" s="310"/>
      <c r="R679" s="52"/>
    </row>
    <row r="680">
      <c r="A680" s="165">
        <v>42632.0</v>
      </c>
      <c r="B680" s="55" t="s">
        <v>134</v>
      </c>
      <c r="C680" s="308" t="s">
        <v>137</v>
      </c>
      <c r="D680" s="55" t="s">
        <v>307</v>
      </c>
      <c r="E680" s="55"/>
      <c r="F680" s="169"/>
      <c r="G680" s="170">
        <v>21.31</v>
      </c>
      <c r="H680" s="321" t="str">
        <f t="shared" si="657"/>
        <v>Vanguard Extended Duration Treasury ETF@DIVIDEND@@21.31</v>
      </c>
      <c r="I680" s="171" t="str">
        <f t="shared" ref="I680:J680" si="686">IFS(AND($B680&lt;&gt;"",$E680&lt;&gt;""),IF(INDEX(N:N,MATCH($C680,$P:$P,0),1)&lt;&gt;"",$E680*INDEX(N:N,MATCH($C680,$P:$P,0),1)+$G680,""),AND($B680&lt;&gt;"",$D680="COST",$G680&lt;0),$G680,TRUE,)</f>
        <v/>
      </c>
      <c r="J680" s="171" t="str">
        <f t="shared" si="686"/>
        <v/>
      </c>
      <c r="K680" s="309" t="str">
        <f t="shared" si="3"/>
        <v>Vanguard Extended Duration Treasury ETF</v>
      </c>
      <c r="L680" s="143">
        <f t="shared" si="4"/>
        <v>0</v>
      </c>
      <c r="M680" s="143">
        <f t="shared" si="5"/>
        <v>-4857.35</v>
      </c>
      <c r="N680" s="176" t="str">
        <f>IF($P680&lt;&gt;"",IF(MAXIFS(Investment!$M:$M,Investment!$H:$H,LEFT($P680,30)&amp;"*"),MAXIFS(Investment!$M:$M,Investment!$H:$H,LEFT($P680,30)&amp;"*"),),)</f>
        <v/>
      </c>
      <c r="O680" s="177" t="str">
        <f>IF($P680&lt;&gt;"",IF(MAXIFS(Investment!$AI:$AI,Investment!$H:$H,LEFT($P680,30)&amp;"*"),MAXIFS(Investment!$AI:$AI,Investment!$H:$H,LEFT($P680,30)&amp;"*"),),)</f>
        <v/>
      </c>
      <c r="P680" s="310"/>
      <c r="R680" s="52"/>
    </row>
    <row r="681">
      <c r="A681" s="165">
        <v>42625.0</v>
      </c>
      <c r="B681" s="55" t="s">
        <v>127</v>
      </c>
      <c r="C681" s="308" t="s">
        <v>130</v>
      </c>
      <c r="D681" s="55" t="s">
        <v>307</v>
      </c>
      <c r="E681" s="55"/>
      <c r="F681" s="169"/>
      <c r="G681" s="170">
        <v>4.53</v>
      </c>
      <c r="H681" s="321" t="str">
        <f t="shared" si="657"/>
        <v>iShares 7-10 Year Treasury Bond ETF@DIVIDEND@@4.53</v>
      </c>
      <c r="I681" s="171" t="str">
        <f t="shared" ref="I681:J681" si="687">IFS(AND($B681&lt;&gt;"",$E681&lt;&gt;""),IF(INDEX(N:N,MATCH($C681,$P:$P,0),1)&lt;&gt;"",$E681*INDEX(N:N,MATCH($C681,$P:$P,0),1)+$G681,""),AND($B681&lt;&gt;"",$D681="COST",$G681&lt;0),$G681,TRUE,)</f>
        <v/>
      </c>
      <c r="J681" s="171" t="str">
        <f t="shared" si="687"/>
        <v/>
      </c>
      <c r="K681" s="309" t="str">
        <f t="shared" si="3"/>
        <v>iShares 7-10 Year Treasury Bond ETF</v>
      </c>
      <c r="L681" s="143">
        <f t="shared" si="4"/>
        <v>0</v>
      </c>
      <c r="M681" s="143">
        <f t="shared" si="5"/>
        <v>-345.82</v>
      </c>
      <c r="N681" s="176" t="str">
        <f>IF($P681&lt;&gt;"",IF(MAXIFS(Investment!$M:$M,Investment!$H:$H,LEFT($P681,30)&amp;"*"),MAXIFS(Investment!$M:$M,Investment!$H:$H,LEFT($P681,30)&amp;"*"),),)</f>
        <v/>
      </c>
      <c r="O681" s="177" t="str">
        <f>IF($P681&lt;&gt;"",IF(MAXIFS(Investment!$AI:$AI,Investment!$H:$H,LEFT($P681,30)&amp;"*"),MAXIFS(Investment!$AI:$AI,Investment!$H:$H,LEFT($P681,30)&amp;"*"),),)</f>
        <v/>
      </c>
      <c r="P681" s="310"/>
      <c r="R681" s="52"/>
    </row>
    <row r="682">
      <c r="A682" s="165">
        <v>42605.0</v>
      </c>
      <c r="B682" s="55" t="s">
        <v>127</v>
      </c>
      <c r="C682" s="308" t="s">
        <v>130</v>
      </c>
      <c r="D682" s="55" t="s">
        <v>307</v>
      </c>
      <c r="E682" s="55"/>
      <c r="F682" s="169"/>
      <c r="G682" s="170">
        <v>4.7</v>
      </c>
      <c r="H682" s="321" t="str">
        <f t="shared" si="657"/>
        <v>iShares 7-10 Year Treasury Bond ETF@DIVIDEND@@4.7</v>
      </c>
      <c r="I682" s="171" t="str">
        <f t="shared" ref="I682:J682" si="688">IFS(AND($B682&lt;&gt;"",$E682&lt;&gt;""),IF(INDEX(N:N,MATCH($C682,$P:$P,0),1)&lt;&gt;"",$E682*INDEX(N:N,MATCH($C682,$P:$P,0),1)+$G682,""),AND($B682&lt;&gt;"",$D682="COST",$G682&lt;0),$G682,TRUE,)</f>
        <v/>
      </c>
      <c r="J682" s="171" t="str">
        <f t="shared" si="688"/>
        <v/>
      </c>
      <c r="K682" s="309" t="str">
        <f t="shared" si="3"/>
        <v>iShares 7-10 Year Treasury Bond ETF</v>
      </c>
      <c r="L682" s="143">
        <f t="shared" si="4"/>
        <v>0</v>
      </c>
      <c r="M682" s="143">
        <f t="shared" si="5"/>
        <v>-345.82</v>
      </c>
      <c r="N682" s="176" t="str">
        <f>IF($P682&lt;&gt;"",IF(MAXIFS(Investment!$M:$M,Investment!$H:$H,LEFT($P682,30)&amp;"*"),MAXIFS(Investment!$M:$M,Investment!$H:$H,LEFT($P682,30)&amp;"*"),),)</f>
        <v/>
      </c>
      <c r="O682" s="177" t="str">
        <f>IF($P682&lt;&gt;"",IF(MAXIFS(Investment!$AI:$AI,Investment!$H:$H,LEFT($P682,30)&amp;"*"),MAXIFS(Investment!$AI:$AI,Investment!$H:$H,LEFT($P682,30)&amp;"*"),),)</f>
        <v/>
      </c>
      <c r="P682" s="310"/>
      <c r="R682" s="52"/>
    </row>
    <row r="683">
      <c r="A683" s="165">
        <v>42563.0</v>
      </c>
      <c r="B683" s="55" t="s">
        <v>127</v>
      </c>
      <c r="C683" s="308" t="s">
        <v>130</v>
      </c>
      <c r="D683" s="55" t="s">
        <v>307</v>
      </c>
      <c r="E683" s="55"/>
      <c r="F683" s="169"/>
      <c r="G683" s="170">
        <v>4.69</v>
      </c>
      <c r="H683" s="321" t="str">
        <f t="shared" si="657"/>
        <v>iShares 7-10 Year Treasury Bond ETF@DIVIDEND@@4.69</v>
      </c>
      <c r="I683" s="171" t="str">
        <f t="shared" ref="I683:J683" si="689">IFS(AND($B683&lt;&gt;"",$E683&lt;&gt;""),IF(INDEX(N:N,MATCH($C683,$P:$P,0),1)&lt;&gt;"",$E683*INDEX(N:N,MATCH($C683,$P:$P,0),1)+$G683,""),AND($B683&lt;&gt;"",$D683="COST",$G683&lt;0),$G683,TRUE,)</f>
        <v/>
      </c>
      <c r="J683" s="171" t="str">
        <f t="shared" si="689"/>
        <v/>
      </c>
      <c r="K683" s="309" t="str">
        <f t="shared" si="3"/>
        <v>iShares 7-10 Year Treasury Bond ETF</v>
      </c>
      <c r="L683" s="143">
        <f t="shared" si="4"/>
        <v>0</v>
      </c>
      <c r="M683" s="143">
        <f t="shared" si="5"/>
        <v>-345.82</v>
      </c>
      <c r="N683" s="176" t="str">
        <f>IF($P683&lt;&gt;"",IF(MAXIFS(Investment!$M:$M,Investment!$H:$H,LEFT($P683,30)&amp;"*"),MAXIFS(Investment!$M:$M,Investment!$H:$H,LEFT($P683,30)&amp;"*"),),)</f>
        <v/>
      </c>
      <c r="O683" s="177" t="str">
        <f>IF($P683&lt;&gt;"",IF(MAXIFS(Investment!$AI:$AI,Investment!$H:$H,LEFT($P683,30)&amp;"*"),MAXIFS(Investment!$AI:$AI,Investment!$H:$H,LEFT($P683,30)&amp;"*"),),)</f>
        <v/>
      </c>
      <c r="P683" s="310"/>
      <c r="R683" s="52"/>
    </row>
    <row r="684">
      <c r="A684" s="165">
        <v>42557.0</v>
      </c>
      <c r="B684" s="154"/>
      <c r="C684" s="329"/>
      <c r="D684" s="330" t="s">
        <v>301</v>
      </c>
      <c r="E684" s="154"/>
      <c r="F684" s="169"/>
      <c r="G684" s="170">
        <v>-0.17</v>
      </c>
      <c r="H684" s="321" t="str">
        <f t="shared" si="657"/>
        <v>@COST@@-0.17</v>
      </c>
      <c r="I684" s="171" t="str">
        <f t="shared" ref="I684:J684" si="690">IFS(AND($B684&lt;&gt;"",$E684&lt;&gt;""),IF(INDEX(N:N,MATCH($C684,$P:$P,0),1)&lt;&gt;"",$E684*INDEX(N:N,MATCH($C684,$P:$P,0),1)+$G684,""),AND($B684&lt;&gt;"",$D684="COST",$G684&lt;0),$G684,TRUE,)</f>
        <v/>
      </c>
      <c r="J684" s="171" t="str">
        <f t="shared" si="690"/>
        <v/>
      </c>
      <c r="K684" s="309" t="str">
        <f t="shared" si="3"/>
        <v/>
      </c>
      <c r="L684" s="143" t="str">
        <f t="shared" si="4"/>
        <v/>
      </c>
      <c r="M684" s="143" t="str">
        <f t="shared" si="5"/>
        <v/>
      </c>
      <c r="N684" s="176" t="str">
        <f>IF($P684&lt;&gt;"",IF(MAXIFS(Investment!$M:$M,Investment!$H:$H,LEFT($P684,30)&amp;"*"),MAXIFS(Investment!$M:$M,Investment!$H:$H,LEFT($P684,30)&amp;"*"),),)</f>
        <v/>
      </c>
      <c r="O684" s="177" t="str">
        <f>IF($P684&lt;&gt;"",IF(MAXIFS(Investment!$AI:$AI,Investment!$H:$H,LEFT($P684,30)&amp;"*"),MAXIFS(Investment!$AI:$AI,Investment!$H:$H,LEFT($P684,30)&amp;"*"),),)</f>
        <v/>
      </c>
      <c r="P684" s="310"/>
      <c r="R684" s="52"/>
    </row>
    <row r="685">
      <c r="A685" s="165">
        <v>42551.0</v>
      </c>
      <c r="B685" s="55" t="s">
        <v>138</v>
      </c>
      <c r="C685" s="308" t="s">
        <v>141</v>
      </c>
      <c r="D685" s="55" t="s">
        <v>307</v>
      </c>
      <c r="E685" s="55"/>
      <c r="F685" s="169"/>
      <c r="G685" s="170">
        <v>27.41</v>
      </c>
      <c r="H685" s="321" t="str">
        <f t="shared" si="657"/>
        <v>Vanguard Total Stock Market ETF@DIVIDEND@@27.41</v>
      </c>
      <c r="I685" s="171" t="str">
        <f t="shared" ref="I685:J685" si="691">IFS(AND($B685&lt;&gt;"",$E685&lt;&gt;""),IF(INDEX(N:N,MATCH($C685,$P:$P,0),1)&lt;&gt;"",$E685*INDEX(N:N,MATCH($C685,$P:$P,0),1)+$G685,""),AND($B685&lt;&gt;"",$D685="COST",$G685&lt;0),$G685,TRUE,)</f>
        <v/>
      </c>
      <c r="J685" s="171" t="str">
        <f t="shared" si="691"/>
        <v/>
      </c>
      <c r="K685" s="309" t="str">
        <f t="shared" si="3"/>
        <v>Vanguard Total Stock Market ETF</v>
      </c>
      <c r="L685" s="143">
        <f t="shared" si="4"/>
        <v>0</v>
      </c>
      <c r="M685" s="143">
        <f t="shared" si="5"/>
        <v>1880.34</v>
      </c>
      <c r="N685" s="176" t="str">
        <f>IF($P685&lt;&gt;"",IF(MAXIFS(Investment!$M:$M,Investment!$H:$H,LEFT($P685,30)&amp;"*"),MAXIFS(Investment!$M:$M,Investment!$H:$H,LEFT($P685,30)&amp;"*"),),)</f>
        <v/>
      </c>
      <c r="O685" s="177" t="str">
        <f>IF($P685&lt;&gt;"",IF(MAXIFS(Investment!$AI:$AI,Investment!$H:$H,LEFT($P685,30)&amp;"*"),MAXIFS(Investment!$AI:$AI,Investment!$H:$H,LEFT($P685,30)&amp;"*"),),)</f>
        <v/>
      </c>
      <c r="P685" s="310"/>
      <c r="R685" s="52"/>
    </row>
    <row r="686">
      <c r="A686" s="165">
        <v>42550.0</v>
      </c>
      <c r="B686" s="55" t="s">
        <v>134</v>
      </c>
      <c r="C686" s="308" t="s">
        <v>137</v>
      </c>
      <c r="D686" s="55" t="s">
        <v>307</v>
      </c>
      <c r="E686" s="55"/>
      <c r="F686" s="169"/>
      <c r="G686" s="170">
        <v>56.25</v>
      </c>
      <c r="H686" s="321" t="str">
        <f t="shared" si="657"/>
        <v>Vanguard Extended Duration Treasury ETF@DIVIDEND@@56.25</v>
      </c>
      <c r="I686" s="171" t="str">
        <f t="shared" ref="I686:J686" si="692">IFS(AND($B686&lt;&gt;"",$E686&lt;&gt;""),IF(INDEX(N:N,MATCH($C686,$P:$P,0),1)&lt;&gt;"",$E686*INDEX(N:N,MATCH($C686,$P:$P,0),1)+$G686,""),AND($B686&lt;&gt;"",$D686="COST",$G686&lt;0),$G686,TRUE,)</f>
        <v/>
      </c>
      <c r="J686" s="171" t="str">
        <f t="shared" si="692"/>
        <v/>
      </c>
      <c r="K686" s="309" t="str">
        <f t="shared" si="3"/>
        <v>Vanguard Extended Duration Treasury ETF</v>
      </c>
      <c r="L686" s="143">
        <f t="shared" si="4"/>
        <v>0</v>
      </c>
      <c r="M686" s="143">
        <f t="shared" si="5"/>
        <v>-4857.35</v>
      </c>
      <c r="N686" s="176" t="str">
        <f>IF($P686&lt;&gt;"",IF(MAXIFS(Investment!$M:$M,Investment!$H:$H,LEFT($P686,30)&amp;"*"),MAXIFS(Investment!$M:$M,Investment!$H:$H,LEFT($P686,30)&amp;"*"),),)</f>
        <v/>
      </c>
      <c r="O686" s="177" t="str">
        <f>IF($P686&lt;&gt;"",IF(MAXIFS(Investment!$AI:$AI,Investment!$H:$H,LEFT($P686,30)&amp;"*"),MAXIFS(Investment!$AI:$AI,Investment!$H:$H,LEFT($P686,30)&amp;"*"),),)</f>
        <v/>
      </c>
      <c r="P686" s="310"/>
      <c r="R686" s="52"/>
    </row>
    <row r="687">
      <c r="A687" s="165">
        <v>42536.0</v>
      </c>
      <c r="B687" s="55" t="s">
        <v>127</v>
      </c>
      <c r="C687" s="308" t="s">
        <v>130</v>
      </c>
      <c r="D687" s="55" t="s">
        <v>307</v>
      </c>
      <c r="E687" s="55"/>
      <c r="F687" s="169"/>
      <c r="G687" s="170">
        <v>4.72</v>
      </c>
      <c r="H687" s="321" t="str">
        <f t="shared" si="657"/>
        <v>iShares 7-10 Year Treasury Bond ETF@DIVIDEND@@4.72</v>
      </c>
      <c r="I687" s="171" t="str">
        <f t="shared" ref="I687:J687" si="693">IFS(AND($B687&lt;&gt;"",$E687&lt;&gt;""),IF(INDEX(N:N,MATCH($C687,$P:$P,0),1)&lt;&gt;"",$E687*INDEX(N:N,MATCH($C687,$P:$P,0),1)+$G687,""),AND($B687&lt;&gt;"",$D687="COST",$G687&lt;0),$G687,TRUE,)</f>
        <v/>
      </c>
      <c r="J687" s="171" t="str">
        <f t="shared" si="693"/>
        <v/>
      </c>
      <c r="K687" s="309" t="str">
        <f t="shared" si="3"/>
        <v>iShares 7-10 Year Treasury Bond ETF</v>
      </c>
      <c r="L687" s="143">
        <f t="shared" si="4"/>
        <v>0</v>
      </c>
      <c r="M687" s="143">
        <f t="shared" si="5"/>
        <v>-345.82</v>
      </c>
      <c r="N687" s="176" t="str">
        <f>IF($P687&lt;&gt;"",IF(MAXIFS(Investment!$M:$M,Investment!$H:$H,LEFT($P687,30)&amp;"*"),MAXIFS(Investment!$M:$M,Investment!$H:$H,LEFT($P687,30)&amp;"*"),),)</f>
        <v/>
      </c>
      <c r="O687" s="177" t="str">
        <f>IF($P687&lt;&gt;"",IF(MAXIFS(Investment!$AI:$AI,Investment!$H:$H,LEFT($P687,30)&amp;"*"),MAXIFS(Investment!$AI:$AI,Investment!$H:$H,LEFT($P687,30)&amp;"*"),),)</f>
        <v/>
      </c>
      <c r="P687" s="310"/>
      <c r="R687" s="52"/>
    </row>
    <row r="688">
      <c r="A688" s="165">
        <v>42501.0</v>
      </c>
      <c r="B688" s="55" t="s">
        <v>127</v>
      </c>
      <c r="C688" s="308" t="s">
        <v>130</v>
      </c>
      <c r="D688" s="55" t="s">
        <v>307</v>
      </c>
      <c r="E688" s="55"/>
      <c r="F688" s="169"/>
      <c r="G688" s="170">
        <v>4.65</v>
      </c>
      <c r="H688" s="321" t="str">
        <f t="shared" si="657"/>
        <v>iShares 7-10 Year Treasury Bond ETF@DIVIDEND@@4.65</v>
      </c>
      <c r="I688" s="171" t="str">
        <f t="shared" ref="I688:J688" si="694">IFS(AND($B688&lt;&gt;"",$E688&lt;&gt;""),IF(INDEX(N:N,MATCH($C688,$P:$P,0),1)&lt;&gt;"",$E688*INDEX(N:N,MATCH($C688,$P:$P,0),1)+$G688,""),AND($B688&lt;&gt;"",$D688="COST",$G688&lt;0),$G688,TRUE,)</f>
        <v/>
      </c>
      <c r="J688" s="171" t="str">
        <f t="shared" si="694"/>
        <v/>
      </c>
      <c r="K688" s="309" t="str">
        <f t="shared" si="3"/>
        <v>iShares 7-10 Year Treasury Bond ETF</v>
      </c>
      <c r="L688" s="143">
        <f t="shared" si="4"/>
        <v>0</v>
      </c>
      <c r="M688" s="143">
        <f t="shared" si="5"/>
        <v>-345.82</v>
      </c>
      <c r="N688" s="176" t="str">
        <f>IF($P688&lt;&gt;"",IF(MAXIFS(Investment!$M:$M,Investment!$H:$H,LEFT($P688,30)&amp;"*"),MAXIFS(Investment!$M:$M,Investment!$H:$H,LEFT($P688,30)&amp;"*"),),)</f>
        <v/>
      </c>
      <c r="O688" s="177" t="str">
        <f>IF($P688&lt;&gt;"",IF(MAXIFS(Investment!$AI:$AI,Investment!$H:$H,LEFT($P688,30)&amp;"*"),MAXIFS(Investment!$AI:$AI,Investment!$H:$H,LEFT($P688,30)&amp;"*"),),)</f>
        <v/>
      </c>
      <c r="P688" s="310"/>
      <c r="R688" s="52"/>
    </row>
    <row r="689">
      <c r="A689" s="165">
        <v>42478.0</v>
      </c>
      <c r="B689" s="166"/>
      <c r="C689" s="166"/>
      <c r="D689" s="166" t="s">
        <v>301</v>
      </c>
      <c r="E689" s="264"/>
      <c r="F689" s="290"/>
      <c r="G689" s="170">
        <v>6.89</v>
      </c>
      <c r="H689" s="289" t="s">
        <v>1088</v>
      </c>
      <c r="I689" s="171" t="str">
        <f t="shared" ref="I689:J689" si="695">IFS(AND($B689&lt;&gt;"",$E689&lt;&gt;""),IF(INDEX(N:N,MATCH($C689,$P:$P,0),1)&lt;&gt;"",$E689*INDEX(N:N,MATCH($C689,$P:$P,0),1)+$G689,""),AND($B689&lt;&gt;"",$D689="COST",$G689&lt;0),$G689,TRUE,)</f>
        <v/>
      </c>
      <c r="J689" s="171" t="str">
        <f t="shared" si="695"/>
        <v/>
      </c>
      <c r="K689" s="309" t="str">
        <f t="shared" si="3"/>
        <v/>
      </c>
      <c r="L689" s="143" t="str">
        <f t="shared" si="4"/>
        <v/>
      </c>
      <c r="M689" s="143" t="str">
        <f t="shared" si="5"/>
        <v/>
      </c>
      <c r="N689" s="176" t="str">
        <f>IF($P689&lt;&gt;"",IF(MAXIFS(Investment!$M:$M,Investment!$H:$H,LEFT($P689,30)&amp;"*"),MAXIFS(Investment!$M:$M,Investment!$H:$H,LEFT($P689,30)&amp;"*"),),)</f>
        <v/>
      </c>
      <c r="O689" s="177" t="str">
        <f>IF($P689&lt;&gt;"",IF(MAXIFS(Investment!$AI:$AI,Investment!$H:$H,LEFT($P689,30)&amp;"*"),MAXIFS(Investment!$AI:$AI,Investment!$H:$H,LEFT($P689,30)&amp;"*"),),)</f>
        <v/>
      </c>
      <c r="P689" s="310"/>
      <c r="R689" s="52"/>
    </row>
    <row r="690">
      <c r="A690" s="165">
        <v>42478.0</v>
      </c>
      <c r="B690" s="55" t="s">
        <v>127</v>
      </c>
      <c r="C690" s="308" t="s">
        <v>130</v>
      </c>
      <c r="D690" s="55" t="s">
        <v>332</v>
      </c>
      <c r="E690" s="55">
        <v>11.0</v>
      </c>
      <c r="F690" s="169">
        <v>97.7077</v>
      </c>
      <c r="G690" s="170">
        <v>-1083.28</v>
      </c>
      <c r="H690" s="321" t="str">
        <f t="shared" ref="H690:H802" si="697">IF(D690&lt;&gt;"",C690 &amp; "@" &amp; D690 &amp; "@" &amp; E690 &amp; "@" &amp; G690,"")</f>
        <v>iShares 7-10 Year Treasury Bond ETF@BUY@11@-1083.28</v>
      </c>
      <c r="I690" s="171" t="str">
        <f t="shared" ref="I690:J690" si="696">IFS(AND($B690&lt;&gt;"",$E690&lt;&gt;""),IF(INDEX(N:N,MATCH($C690,$P:$P,0),1)&lt;&gt;"",$E690*INDEX(N:N,MATCH($C690,$P:$P,0),1)+$G690,""),AND($B690&lt;&gt;"",$D690="COST",$G690&lt;0),$G690,TRUE,)</f>
        <v/>
      </c>
      <c r="J690" s="171" t="str">
        <f t="shared" si="696"/>
        <v/>
      </c>
      <c r="K690" s="309" t="str">
        <f t="shared" si="3"/>
        <v>iShares 7-10 Year Treasury Bond ETF</v>
      </c>
      <c r="L690" s="143">
        <f t="shared" si="4"/>
        <v>0</v>
      </c>
      <c r="M690" s="143">
        <f t="shared" si="5"/>
        <v>-345.82</v>
      </c>
      <c r="N690" s="176" t="str">
        <f>IF($P690&lt;&gt;"",IF(MAXIFS(Investment!$M:$M,Investment!$H:$H,LEFT($P690,30)&amp;"*"),MAXIFS(Investment!$M:$M,Investment!$H:$H,LEFT($P690,30)&amp;"*"),),)</f>
        <v/>
      </c>
      <c r="O690" s="177" t="str">
        <f>IF($P690&lt;&gt;"",IF(MAXIFS(Investment!$AI:$AI,Investment!$H:$H,LEFT($P690,30)&amp;"*"),MAXIFS(Investment!$AI:$AI,Investment!$H:$H,LEFT($P690,30)&amp;"*"),),)</f>
        <v/>
      </c>
      <c r="P690" s="310"/>
      <c r="R690" s="52"/>
    </row>
    <row r="691">
      <c r="A691" s="165">
        <v>42478.0</v>
      </c>
      <c r="B691" s="55" t="s">
        <v>134</v>
      </c>
      <c r="C691" s="308" t="s">
        <v>137</v>
      </c>
      <c r="D691" s="55" t="s">
        <v>332</v>
      </c>
      <c r="E691" s="55">
        <v>19.0</v>
      </c>
      <c r="F691" s="169">
        <v>112.6586</v>
      </c>
      <c r="G691" s="170">
        <v>-2149.01</v>
      </c>
      <c r="H691" s="321" t="str">
        <f t="shared" si="697"/>
        <v>Vanguard Extended Duration Treasury ETF@BUY@19@-2149.01</v>
      </c>
      <c r="I691" s="171" t="str">
        <f t="shared" ref="I691:J691" si="698">IFS(AND($B691&lt;&gt;"",$E691&lt;&gt;""),IF(INDEX(N:N,MATCH($C691,$P:$P,0),1)&lt;&gt;"",$E691*INDEX(N:N,MATCH($C691,$P:$P,0),1)+$G691,""),AND($B691&lt;&gt;"",$D691="COST",$G691&lt;0),$G691,TRUE,)</f>
        <v/>
      </c>
      <c r="J691" s="171" t="str">
        <f t="shared" si="698"/>
        <v/>
      </c>
      <c r="K691" s="309" t="str">
        <f t="shared" si="3"/>
        <v>Vanguard Extended Duration Treasury ETF</v>
      </c>
      <c r="L691" s="143">
        <f t="shared" si="4"/>
        <v>0</v>
      </c>
      <c r="M691" s="143">
        <f t="shared" si="5"/>
        <v>-4857.35</v>
      </c>
      <c r="N691" s="176" t="str">
        <f>IF($P691&lt;&gt;"",IF(MAXIFS(Investment!$M:$M,Investment!$H:$H,LEFT($P691,30)&amp;"*"),MAXIFS(Investment!$M:$M,Investment!$H:$H,LEFT($P691,30)&amp;"*"),),)</f>
        <v/>
      </c>
      <c r="O691" s="177" t="str">
        <f>IF($P691&lt;&gt;"",IF(MAXIFS(Investment!$AI:$AI,Investment!$H:$H,LEFT($P691,30)&amp;"*"),MAXIFS(Investment!$AI:$AI,Investment!$H:$H,LEFT($P691,30)&amp;"*"),),)</f>
        <v/>
      </c>
      <c r="P691" s="310"/>
      <c r="R691" s="52"/>
    </row>
    <row r="692">
      <c r="A692" s="165">
        <v>42478.0</v>
      </c>
      <c r="B692" s="55" t="s">
        <v>138</v>
      </c>
      <c r="C692" s="308" t="s">
        <v>141</v>
      </c>
      <c r="D692" s="55" t="s">
        <v>332</v>
      </c>
      <c r="E692" s="55">
        <v>21.0</v>
      </c>
      <c r="F692" s="169">
        <v>94.3352</v>
      </c>
      <c r="G692" s="170">
        <v>-1989.54</v>
      </c>
      <c r="H692" s="321" t="str">
        <f t="shared" si="697"/>
        <v>Vanguard Total Stock Market ETF@BUY@21@-1989.54</v>
      </c>
      <c r="I692" s="171" t="str">
        <f t="shared" ref="I692:J692" si="699">IFS(AND($B692&lt;&gt;"",$E692&lt;&gt;""),IF(INDEX(N:N,MATCH($C692,$P:$P,0),1)&lt;&gt;"",$E692*INDEX(N:N,MATCH($C692,$P:$P,0),1)+$G692,""),AND($B692&lt;&gt;"",$D692="COST",$G692&lt;0),$G692,TRUE,)</f>
        <v/>
      </c>
      <c r="J692" s="171" t="str">
        <f t="shared" si="699"/>
        <v/>
      </c>
      <c r="K692" s="309" t="str">
        <f t="shared" si="3"/>
        <v>Vanguard Total Stock Market ETF</v>
      </c>
      <c r="L692" s="143">
        <f t="shared" si="4"/>
        <v>0</v>
      </c>
      <c r="M692" s="143">
        <f t="shared" si="5"/>
        <v>1880.34</v>
      </c>
      <c r="N692" s="176" t="str">
        <f>IF($P692&lt;&gt;"",IF(MAXIFS(Investment!$M:$M,Investment!$H:$H,LEFT($P692,30)&amp;"*"),MAXIFS(Investment!$M:$M,Investment!$H:$H,LEFT($P692,30)&amp;"*"),),)</f>
        <v/>
      </c>
      <c r="O692" s="177" t="str">
        <f>IF($P692&lt;&gt;"",IF(MAXIFS(Investment!$AI:$AI,Investment!$H:$H,LEFT($P692,30)&amp;"*"),MAXIFS(Investment!$AI:$AI,Investment!$H:$H,LEFT($P692,30)&amp;"*"),),)</f>
        <v/>
      </c>
      <c r="P692" s="310"/>
      <c r="R692" s="52"/>
    </row>
    <row r="693">
      <c r="A693" s="165">
        <v>42471.0</v>
      </c>
      <c r="B693" s="55" t="s">
        <v>127</v>
      </c>
      <c r="C693" s="308" t="s">
        <v>130</v>
      </c>
      <c r="D693" s="55" t="s">
        <v>307</v>
      </c>
      <c r="E693" s="55"/>
      <c r="F693" s="169"/>
      <c r="G693" s="170">
        <v>4.08</v>
      </c>
      <c r="H693" s="321" t="str">
        <f t="shared" si="697"/>
        <v>iShares 7-10 Year Treasury Bond ETF@DIVIDEND@@4.08</v>
      </c>
      <c r="I693" s="171" t="str">
        <f t="shared" ref="I693:J693" si="700">IFS(AND($B693&lt;&gt;"",$E693&lt;&gt;""),IF(INDEX(N:N,MATCH($C693,$P:$P,0),1)&lt;&gt;"",$E693*INDEX(N:N,MATCH($C693,$P:$P,0),1)+$G693,""),AND($B693&lt;&gt;"",$D693="COST",$G693&lt;0),$G693,TRUE,)</f>
        <v/>
      </c>
      <c r="J693" s="171" t="str">
        <f t="shared" si="700"/>
        <v/>
      </c>
      <c r="K693" s="309" t="str">
        <f t="shared" si="3"/>
        <v>iShares 7-10 Year Treasury Bond ETF</v>
      </c>
      <c r="L693" s="143">
        <f t="shared" si="4"/>
        <v>0</v>
      </c>
      <c r="M693" s="143">
        <f t="shared" si="5"/>
        <v>-345.82</v>
      </c>
      <c r="N693" s="176" t="str">
        <f>IF($P693&lt;&gt;"",IF(MAXIFS(Investment!$M:$M,Investment!$H:$H,LEFT($P693,30)&amp;"*"),MAXIFS(Investment!$M:$M,Investment!$H:$H,LEFT($P693,30)&amp;"*"),),)</f>
        <v/>
      </c>
      <c r="O693" s="177" t="str">
        <f>IF($P693&lt;&gt;"",IF(MAXIFS(Investment!$AI:$AI,Investment!$H:$H,LEFT($P693,30)&amp;"*"),MAXIFS(Investment!$AI:$AI,Investment!$H:$H,LEFT($P693,30)&amp;"*"),),)</f>
        <v/>
      </c>
      <c r="P693" s="310"/>
      <c r="R693" s="52"/>
    </row>
    <row r="694">
      <c r="A694" s="165">
        <v>42459.0</v>
      </c>
      <c r="B694" s="55" t="s">
        <v>134</v>
      </c>
      <c r="C694" s="308" t="s">
        <v>137</v>
      </c>
      <c r="D694" s="55" t="s">
        <v>307</v>
      </c>
      <c r="E694" s="55"/>
      <c r="F694" s="169"/>
      <c r="G694" s="170">
        <v>41.4</v>
      </c>
      <c r="H694" s="321" t="str">
        <f t="shared" si="697"/>
        <v>Vanguard Extended Duration Treasury ETF@DIVIDEND@@41.4</v>
      </c>
      <c r="I694" s="171" t="str">
        <f t="shared" ref="I694:J694" si="701">IFS(AND($B694&lt;&gt;"",$E694&lt;&gt;""),IF(INDEX(N:N,MATCH($C694,$P:$P,0),1)&lt;&gt;"",$E694*INDEX(N:N,MATCH($C694,$P:$P,0),1)+$G694,""),AND($B694&lt;&gt;"",$D694="COST",$G694&lt;0),$G694,TRUE,)</f>
        <v/>
      </c>
      <c r="J694" s="171" t="str">
        <f t="shared" si="701"/>
        <v/>
      </c>
      <c r="K694" s="309" t="str">
        <f t="shared" si="3"/>
        <v>Vanguard Extended Duration Treasury ETF</v>
      </c>
      <c r="L694" s="143">
        <f t="shared" si="4"/>
        <v>0</v>
      </c>
      <c r="M694" s="143">
        <f t="shared" si="5"/>
        <v>-4857.35</v>
      </c>
      <c r="N694" s="176" t="str">
        <f>IF($P694&lt;&gt;"",IF(MAXIFS(Investment!$M:$M,Investment!$H:$H,LEFT($P694,30)&amp;"*"),MAXIFS(Investment!$M:$M,Investment!$H:$H,LEFT($P694,30)&amp;"*"),),)</f>
        <v/>
      </c>
      <c r="O694" s="177" t="str">
        <f>IF($P694&lt;&gt;"",IF(MAXIFS(Investment!$AI:$AI,Investment!$H:$H,LEFT($P694,30)&amp;"*"),MAXIFS(Investment!$AI:$AI,Investment!$H:$H,LEFT($P694,30)&amp;"*"),),)</f>
        <v/>
      </c>
      <c r="P694" s="310"/>
      <c r="R694" s="52"/>
    </row>
    <row r="695">
      <c r="A695" s="165">
        <v>42452.0</v>
      </c>
      <c r="B695" s="55" t="s">
        <v>138</v>
      </c>
      <c r="C695" s="308" t="s">
        <v>141</v>
      </c>
      <c r="D695" s="55" t="s">
        <v>307</v>
      </c>
      <c r="E695" s="55"/>
      <c r="F695" s="169"/>
      <c r="G695" s="170">
        <v>23.94</v>
      </c>
      <c r="H695" s="321" t="str">
        <f t="shared" si="697"/>
        <v>Vanguard Total Stock Market ETF@DIVIDEND@@23.94</v>
      </c>
      <c r="I695" s="171" t="str">
        <f t="shared" ref="I695:J695" si="702">IFS(AND($B695&lt;&gt;"",$E695&lt;&gt;""),IF(INDEX(N:N,MATCH($C695,$P:$P,0),1)&lt;&gt;"",$E695*INDEX(N:N,MATCH($C695,$P:$P,0),1)+$G695,""),AND($B695&lt;&gt;"",$D695="COST",$G695&lt;0),$G695,TRUE,)</f>
        <v/>
      </c>
      <c r="J695" s="171" t="str">
        <f t="shared" si="702"/>
        <v/>
      </c>
      <c r="K695" s="309" t="str">
        <f t="shared" si="3"/>
        <v>Vanguard Total Stock Market ETF</v>
      </c>
      <c r="L695" s="143">
        <f t="shared" si="4"/>
        <v>0</v>
      </c>
      <c r="M695" s="143">
        <f t="shared" si="5"/>
        <v>1880.34</v>
      </c>
      <c r="N695" s="176" t="str">
        <f>IF($P695&lt;&gt;"",IF(MAXIFS(Investment!$M:$M,Investment!$H:$H,LEFT($P695,30)&amp;"*"),MAXIFS(Investment!$M:$M,Investment!$H:$H,LEFT($P695,30)&amp;"*"),),)</f>
        <v/>
      </c>
      <c r="O695" s="177" t="str">
        <f>IF($P695&lt;&gt;"",IF(MAXIFS(Investment!$AI:$AI,Investment!$H:$H,LEFT($P695,30)&amp;"*"),MAXIFS(Investment!$AI:$AI,Investment!$H:$H,LEFT($P695,30)&amp;"*"),),)</f>
        <v/>
      </c>
      <c r="P695" s="310"/>
      <c r="R695" s="52"/>
    </row>
    <row r="696">
      <c r="A696" s="165">
        <v>42437.0</v>
      </c>
      <c r="B696" s="55" t="s">
        <v>127</v>
      </c>
      <c r="C696" s="308" t="s">
        <v>130</v>
      </c>
      <c r="D696" s="55" t="s">
        <v>307</v>
      </c>
      <c r="E696" s="55"/>
      <c r="F696" s="169"/>
      <c r="G696" s="170">
        <v>3.92</v>
      </c>
      <c r="H696" s="321" t="str">
        <f t="shared" si="697"/>
        <v>iShares 7-10 Year Treasury Bond ETF@DIVIDEND@@3.92</v>
      </c>
      <c r="I696" s="171" t="str">
        <f t="shared" ref="I696:J696" si="703">IFS(AND($B696&lt;&gt;"",$E696&lt;&gt;""),IF(INDEX(N:N,MATCH($C696,$P:$P,0),1)&lt;&gt;"",$E696*INDEX(N:N,MATCH($C696,$P:$P,0),1)+$G696,""),AND($B696&lt;&gt;"",$D696="COST",$G696&lt;0),$G696,TRUE,)</f>
        <v/>
      </c>
      <c r="J696" s="171" t="str">
        <f t="shared" si="703"/>
        <v/>
      </c>
      <c r="K696" s="309" t="str">
        <f t="shared" si="3"/>
        <v>iShares 7-10 Year Treasury Bond ETF</v>
      </c>
      <c r="L696" s="143">
        <f t="shared" si="4"/>
        <v>0</v>
      </c>
      <c r="M696" s="143">
        <f t="shared" si="5"/>
        <v>-345.82</v>
      </c>
      <c r="N696" s="176" t="str">
        <f>IF($P696&lt;&gt;"",IF(MAXIFS(Investment!$M:$M,Investment!$H:$H,LEFT($P696,30)&amp;"*"),MAXIFS(Investment!$M:$M,Investment!$H:$H,LEFT($P696,30)&amp;"*"),),)</f>
        <v/>
      </c>
      <c r="O696" s="177" t="str">
        <f>IF($P696&lt;&gt;"",IF(MAXIFS(Investment!$AI:$AI,Investment!$H:$H,LEFT($P696,30)&amp;"*"),MAXIFS(Investment!$AI:$AI,Investment!$H:$H,LEFT($P696,30)&amp;"*"),),)</f>
        <v/>
      </c>
      <c r="P696" s="310"/>
      <c r="R696" s="52"/>
    </row>
    <row r="697">
      <c r="A697" s="165">
        <v>42409.0</v>
      </c>
      <c r="B697" s="55" t="s">
        <v>127</v>
      </c>
      <c r="C697" s="308" t="s">
        <v>130</v>
      </c>
      <c r="D697" s="55" t="s">
        <v>307</v>
      </c>
      <c r="E697" s="55"/>
      <c r="F697" s="169"/>
      <c r="G697" s="170">
        <v>3.92</v>
      </c>
      <c r="H697" s="321" t="str">
        <f t="shared" si="697"/>
        <v>iShares 7-10 Year Treasury Bond ETF@DIVIDEND@@3.92</v>
      </c>
      <c r="I697" s="171" t="str">
        <f t="shared" ref="I697:J697" si="704">IFS(AND($B697&lt;&gt;"",$E697&lt;&gt;""),IF(INDEX(N:N,MATCH($C697,$P:$P,0),1)&lt;&gt;"",$E697*INDEX(N:N,MATCH($C697,$P:$P,0),1)+$G697,""),AND($B697&lt;&gt;"",$D697="COST",$G697&lt;0),$G697,TRUE,)</f>
        <v/>
      </c>
      <c r="J697" s="171" t="str">
        <f t="shared" si="704"/>
        <v/>
      </c>
      <c r="K697" s="309" t="str">
        <f t="shared" si="3"/>
        <v>iShares 7-10 Year Treasury Bond ETF</v>
      </c>
      <c r="L697" s="143">
        <f t="shared" si="4"/>
        <v>0</v>
      </c>
      <c r="M697" s="143">
        <f t="shared" si="5"/>
        <v>-345.82</v>
      </c>
      <c r="N697" s="176" t="str">
        <f>IF($P697&lt;&gt;"",IF(MAXIFS(Investment!$M:$M,Investment!$H:$H,LEFT($P697,30)&amp;"*"),MAXIFS(Investment!$M:$M,Investment!$H:$H,LEFT($P697,30)&amp;"*"),),)</f>
        <v/>
      </c>
      <c r="O697" s="177" t="str">
        <f>IF($P697&lt;&gt;"",IF(MAXIFS(Investment!$AI:$AI,Investment!$H:$H,LEFT($P697,30)&amp;"*"),MAXIFS(Investment!$AI:$AI,Investment!$H:$H,LEFT($P697,30)&amp;"*"),),)</f>
        <v/>
      </c>
      <c r="P697" s="310"/>
      <c r="R697" s="52"/>
    </row>
    <row r="698">
      <c r="A698" s="165">
        <v>42375.0</v>
      </c>
      <c r="B698" s="154"/>
      <c r="C698" s="329"/>
      <c r="D698" s="330" t="s">
        <v>301</v>
      </c>
      <c r="E698" s="154"/>
      <c r="F698" s="169"/>
      <c r="G698" s="170">
        <v>-0.22</v>
      </c>
      <c r="H698" s="321" t="str">
        <f t="shared" si="697"/>
        <v>@COST@@-0.22</v>
      </c>
      <c r="I698" s="171" t="str">
        <f t="shared" ref="I698:J698" si="705">IFS(AND($B698&lt;&gt;"",$E698&lt;&gt;""),IF(INDEX(N:N,MATCH($C698,$P:$P,0),1)&lt;&gt;"",$E698*INDEX(N:N,MATCH($C698,$P:$P,0),1)+$G698,""),AND($B698&lt;&gt;"",$D698="COST",$G698&lt;0),$G698,TRUE,)</f>
        <v/>
      </c>
      <c r="J698" s="171" t="str">
        <f t="shared" si="705"/>
        <v/>
      </c>
      <c r="K698" s="309" t="str">
        <f t="shared" si="3"/>
        <v/>
      </c>
      <c r="L698" s="143" t="str">
        <f t="shared" si="4"/>
        <v/>
      </c>
      <c r="M698" s="143" t="str">
        <f t="shared" si="5"/>
        <v/>
      </c>
      <c r="N698" s="176" t="str">
        <f>IF($P698&lt;&gt;"",IF(MAXIFS(Investment!$M:$M,Investment!$H:$H,LEFT($P698,30)&amp;"*"),MAXIFS(Investment!$M:$M,Investment!$H:$H,LEFT($P698,30)&amp;"*"),),)</f>
        <v/>
      </c>
      <c r="O698" s="177" t="str">
        <f>IF($P698&lt;&gt;"",IF(MAXIFS(Investment!$AI:$AI,Investment!$H:$H,LEFT($P698,30)&amp;"*"),MAXIFS(Investment!$AI:$AI,Investment!$H:$H,LEFT($P698,30)&amp;"*"),),)</f>
        <v/>
      </c>
      <c r="P698" s="310"/>
      <c r="R698" s="52"/>
    </row>
    <row r="699">
      <c r="A699" s="165">
        <v>42374.0</v>
      </c>
      <c r="B699" s="55" t="s">
        <v>138</v>
      </c>
      <c r="C699" s="308" t="s">
        <v>141</v>
      </c>
      <c r="D699" s="55" t="s">
        <v>307</v>
      </c>
      <c r="E699" s="55"/>
      <c r="F699" s="169"/>
      <c r="G699" s="170">
        <v>29.75</v>
      </c>
      <c r="H699" s="321" t="str">
        <f t="shared" si="697"/>
        <v>Vanguard Total Stock Market ETF@DIVIDEND@@29.75</v>
      </c>
      <c r="I699" s="171" t="str">
        <f t="shared" ref="I699:J699" si="706">IFS(AND($B699&lt;&gt;"",$E699&lt;&gt;""),IF(INDEX(N:N,MATCH($C699,$P:$P,0),1)&lt;&gt;"",$E699*INDEX(N:N,MATCH($C699,$P:$P,0),1)+$G699,""),AND($B699&lt;&gt;"",$D699="COST",$G699&lt;0),$G699,TRUE,)</f>
        <v/>
      </c>
      <c r="J699" s="171" t="str">
        <f t="shared" si="706"/>
        <v/>
      </c>
      <c r="K699" s="309" t="str">
        <f t="shared" si="3"/>
        <v>Vanguard Total Stock Market ETF</v>
      </c>
      <c r="L699" s="143">
        <f t="shared" si="4"/>
        <v>0</v>
      </c>
      <c r="M699" s="143">
        <f t="shared" si="5"/>
        <v>1880.34</v>
      </c>
      <c r="N699" s="176" t="str">
        <f>IF($P699&lt;&gt;"",IF(MAXIFS(Investment!$M:$M,Investment!$H:$H,LEFT($P699,30)&amp;"*"),MAXIFS(Investment!$M:$M,Investment!$H:$H,LEFT($P699,30)&amp;"*"),),)</f>
        <v/>
      </c>
      <c r="O699" s="177" t="str">
        <f>IF($P699&lt;&gt;"",IF(MAXIFS(Investment!$AI:$AI,Investment!$H:$H,LEFT($P699,30)&amp;"*"),MAXIFS(Investment!$AI:$AI,Investment!$H:$H,LEFT($P699,30)&amp;"*"),),)</f>
        <v/>
      </c>
      <c r="P699" s="310"/>
      <c r="R699" s="52"/>
    </row>
    <row r="700">
      <c r="A700" s="165">
        <v>42374.0</v>
      </c>
      <c r="B700" s="55" t="s">
        <v>127</v>
      </c>
      <c r="C700" s="308" t="s">
        <v>130</v>
      </c>
      <c r="D700" s="55" t="s">
        <v>307</v>
      </c>
      <c r="E700" s="55"/>
      <c r="F700" s="169"/>
      <c r="G700" s="170">
        <v>4.14</v>
      </c>
      <c r="H700" s="321" t="str">
        <f t="shared" si="697"/>
        <v>iShares 7-10 Year Treasury Bond ETF@DIVIDEND@@4.14</v>
      </c>
      <c r="I700" s="171" t="str">
        <f t="shared" ref="I700:J700" si="707">IFS(AND($B700&lt;&gt;"",$E700&lt;&gt;""),IF(INDEX(N:N,MATCH($C700,$P:$P,0),1)&lt;&gt;"",$E700*INDEX(N:N,MATCH($C700,$P:$P,0),1)+$G700,""),AND($B700&lt;&gt;"",$D700="COST",$G700&lt;0),$G700,TRUE,)</f>
        <v/>
      </c>
      <c r="J700" s="171" t="str">
        <f t="shared" si="707"/>
        <v/>
      </c>
      <c r="K700" s="309" t="str">
        <f t="shared" si="3"/>
        <v>iShares 7-10 Year Treasury Bond ETF</v>
      </c>
      <c r="L700" s="143">
        <f t="shared" si="4"/>
        <v>0</v>
      </c>
      <c r="M700" s="143">
        <f t="shared" si="5"/>
        <v>-345.82</v>
      </c>
      <c r="N700" s="176" t="str">
        <f>IF($P700&lt;&gt;"",IF(MAXIFS(Investment!$M:$M,Investment!$H:$H,LEFT($P700,30)&amp;"*"),MAXIFS(Investment!$M:$M,Investment!$H:$H,LEFT($P700,30)&amp;"*"),),)</f>
        <v/>
      </c>
      <c r="O700" s="177" t="str">
        <f>IF($P700&lt;&gt;"",IF(MAXIFS(Investment!$AI:$AI,Investment!$H:$H,LEFT($P700,30)&amp;"*"),MAXIFS(Investment!$AI:$AI,Investment!$H:$H,LEFT($P700,30)&amp;"*"),),)</f>
        <v/>
      </c>
      <c r="P700" s="310"/>
      <c r="R700" s="52"/>
    </row>
    <row r="701">
      <c r="A701" s="165">
        <v>42373.0</v>
      </c>
      <c r="B701" s="55" t="s">
        <v>134</v>
      </c>
      <c r="C701" s="308" t="s">
        <v>137</v>
      </c>
      <c r="D701" s="55" t="s">
        <v>307</v>
      </c>
      <c r="E701" s="55"/>
      <c r="F701" s="169"/>
      <c r="G701" s="170">
        <v>61.86</v>
      </c>
      <c r="H701" s="321" t="str">
        <f t="shared" si="697"/>
        <v>Vanguard Extended Duration Treasury ETF@DIVIDEND@@61.86</v>
      </c>
      <c r="I701" s="171" t="str">
        <f t="shared" ref="I701:J701" si="708">IFS(AND($B701&lt;&gt;"",$E701&lt;&gt;""),IF(INDEX(N:N,MATCH($C701,$P:$P,0),1)&lt;&gt;"",$E701*INDEX(N:N,MATCH($C701,$P:$P,0),1)+$G701,""),AND($B701&lt;&gt;"",$D701="COST",$G701&lt;0),$G701,TRUE,)</f>
        <v/>
      </c>
      <c r="J701" s="171" t="str">
        <f t="shared" si="708"/>
        <v/>
      </c>
      <c r="K701" s="309" t="str">
        <f t="shared" si="3"/>
        <v>Vanguard Extended Duration Treasury ETF</v>
      </c>
      <c r="L701" s="143">
        <f t="shared" si="4"/>
        <v>0</v>
      </c>
      <c r="M701" s="143">
        <f t="shared" si="5"/>
        <v>-4857.35</v>
      </c>
      <c r="N701" s="176" t="str">
        <f>IF($P701&lt;&gt;"",IF(MAXIFS(Investment!$M:$M,Investment!$H:$H,LEFT($P701,30)&amp;"*"),MAXIFS(Investment!$M:$M,Investment!$H:$H,LEFT($P701,30)&amp;"*"),),)</f>
        <v/>
      </c>
      <c r="O701" s="177" t="str">
        <f>IF($P701&lt;&gt;"",IF(MAXIFS(Investment!$AI:$AI,Investment!$H:$H,LEFT($P701,30)&amp;"*"),MAXIFS(Investment!$AI:$AI,Investment!$H:$H,LEFT($P701,30)&amp;"*"),),)</f>
        <v/>
      </c>
      <c r="P701" s="310"/>
      <c r="R701" s="52"/>
    </row>
    <row r="702">
      <c r="A702" s="165">
        <v>42373.0</v>
      </c>
      <c r="B702" s="55" t="s">
        <v>134</v>
      </c>
      <c r="C702" s="308" t="s">
        <v>137</v>
      </c>
      <c r="D702" s="55" t="s">
        <v>307</v>
      </c>
      <c r="E702" s="55"/>
      <c r="F702" s="169"/>
      <c r="G702" s="170">
        <v>1.85</v>
      </c>
      <c r="H702" s="321" t="str">
        <f t="shared" si="697"/>
        <v>Vanguard Extended Duration Treasury ETF@DIVIDEND@@1.85</v>
      </c>
      <c r="I702" s="171" t="str">
        <f t="shared" ref="I702:J702" si="709">IFS(AND($B702&lt;&gt;"",$E702&lt;&gt;""),IF(INDEX(N:N,MATCH($C702,$P:$P,0),1)&lt;&gt;"",$E702*INDEX(N:N,MATCH($C702,$P:$P,0),1)+$G702,""),AND($B702&lt;&gt;"",$D702="COST",$G702&lt;0),$G702,TRUE,)</f>
        <v/>
      </c>
      <c r="J702" s="171" t="str">
        <f t="shared" si="709"/>
        <v/>
      </c>
      <c r="K702" s="309" t="str">
        <f t="shared" si="3"/>
        <v>Vanguard Extended Duration Treasury ETF</v>
      </c>
      <c r="L702" s="143">
        <f t="shared" si="4"/>
        <v>0</v>
      </c>
      <c r="M702" s="143">
        <f t="shared" si="5"/>
        <v>-4857.35</v>
      </c>
      <c r="N702" s="176" t="str">
        <f>IF($P702&lt;&gt;"",IF(MAXIFS(Investment!$M:$M,Investment!$H:$H,LEFT($P702,30)&amp;"*"),MAXIFS(Investment!$M:$M,Investment!$H:$H,LEFT($P702,30)&amp;"*"),),)</f>
        <v/>
      </c>
      <c r="O702" s="177" t="str">
        <f>IF($P702&lt;&gt;"",IF(MAXIFS(Investment!$AI:$AI,Investment!$H:$H,LEFT($P702,30)&amp;"*"),MAXIFS(Investment!$AI:$AI,Investment!$H:$H,LEFT($P702,30)&amp;"*"),),)</f>
        <v/>
      </c>
      <c r="P702" s="310"/>
      <c r="R702" s="52"/>
    </row>
    <row r="703">
      <c r="A703" s="165">
        <v>42373.0</v>
      </c>
      <c r="B703" s="55" t="s">
        <v>134</v>
      </c>
      <c r="C703" s="308" t="s">
        <v>137</v>
      </c>
      <c r="D703" s="55" t="s">
        <v>307</v>
      </c>
      <c r="E703" s="55"/>
      <c r="F703" s="169"/>
      <c r="G703" s="170">
        <v>87.38</v>
      </c>
      <c r="H703" s="321" t="str">
        <f t="shared" si="697"/>
        <v>Vanguard Extended Duration Treasury ETF@DIVIDEND@@87.38</v>
      </c>
      <c r="I703" s="171" t="str">
        <f t="shared" ref="I703:J703" si="710">IFS(AND($B703&lt;&gt;"",$E703&lt;&gt;""),IF(INDEX(N:N,MATCH($C703,$P:$P,0),1)&lt;&gt;"",$E703*INDEX(N:N,MATCH($C703,$P:$P,0),1)+$G703,""),AND($B703&lt;&gt;"",$D703="COST",$G703&lt;0),$G703,TRUE,)</f>
        <v/>
      </c>
      <c r="J703" s="171" t="str">
        <f t="shared" si="710"/>
        <v/>
      </c>
      <c r="K703" s="309" t="str">
        <f t="shared" si="3"/>
        <v>Vanguard Extended Duration Treasury ETF</v>
      </c>
      <c r="L703" s="143">
        <f t="shared" si="4"/>
        <v>0</v>
      </c>
      <c r="M703" s="143">
        <f t="shared" si="5"/>
        <v>-4857.35</v>
      </c>
      <c r="N703" s="176" t="str">
        <f>IF($P703&lt;&gt;"",IF(MAXIFS(Investment!$M:$M,Investment!$H:$H,LEFT($P703,30)&amp;"*"),MAXIFS(Investment!$M:$M,Investment!$H:$H,LEFT($P703,30)&amp;"*"),),)</f>
        <v/>
      </c>
      <c r="O703" s="177" t="str">
        <f>IF($P703&lt;&gt;"",IF(MAXIFS(Investment!$AI:$AI,Investment!$H:$H,LEFT($P703,30)&amp;"*"),MAXIFS(Investment!$AI:$AI,Investment!$H:$H,LEFT($P703,30)&amp;"*"),),)</f>
        <v/>
      </c>
      <c r="P703" s="310"/>
      <c r="R703" s="52"/>
    </row>
    <row r="704">
      <c r="A704" s="165">
        <v>42348.0</v>
      </c>
      <c r="B704" s="55" t="s">
        <v>134</v>
      </c>
      <c r="C704" s="308" t="s">
        <v>137</v>
      </c>
      <c r="D704" s="55" t="s">
        <v>332</v>
      </c>
      <c r="E704" s="55">
        <v>1.0</v>
      </c>
      <c r="F704" s="169">
        <v>107.2959</v>
      </c>
      <c r="G704" s="170">
        <v>-115.8</v>
      </c>
      <c r="H704" s="321" t="str">
        <f t="shared" si="697"/>
        <v>Vanguard Extended Duration Treasury ETF@BUY@1@-115.8</v>
      </c>
      <c r="I704" s="171" t="str">
        <f t="shared" ref="I704:J704" si="711">IFS(AND($B704&lt;&gt;"",$E704&lt;&gt;""),IF(INDEX(N:N,MATCH($C704,$P:$P,0),1)&lt;&gt;"",$E704*INDEX(N:N,MATCH($C704,$P:$P,0),1)+$G704,""),AND($B704&lt;&gt;"",$D704="COST",$G704&lt;0),$G704,TRUE,)</f>
        <v/>
      </c>
      <c r="J704" s="171" t="str">
        <f t="shared" si="711"/>
        <v/>
      </c>
      <c r="K704" s="309" t="str">
        <f t="shared" si="3"/>
        <v>Vanguard Extended Duration Treasury ETF</v>
      </c>
      <c r="L704" s="143">
        <f t="shared" si="4"/>
        <v>0</v>
      </c>
      <c r="M704" s="143">
        <f t="shared" si="5"/>
        <v>-4857.35</v>
      </c>
      <c r="N704" s="176" t="str">
        <f>IF($P704&lt;&gt;"",IF(MAXIFS(Investment!$M:$M,Investment!$H:$H,LEFT($P704,30)&amp;"*"),MAXIFS(Investment!$M:$M,Investment!$H:$H,LEFT($P704,30)&amp;"*"),),)</f>
        <v/>
      </c>
      <c r="O704" s="177" t="str">
        <f>IF($P704&lt;&gt;"",IF(MAXIFS(Investment!$AI:$AI,Investment!$H:$H,LEFT($P704,30)&amp;"*"),MAXIFS(Investment!$AI:$AI,Investment!$H:$H,LEFT($P704,30)&amp;"*"),),)</f>
        <v/>
      </c>
      <c r="P704" s="310"/>
      <c r="R704" s="52"/>
    </row>
    <row r="705">
      <c r="A705" s="165">
        <v>42348.0</v>
      </c>
      <c r="B705" s="55" t="s">
        <v>138</v>
      </c>
      <c r="C705" s="308" t="s">
        <v>141</v>
      </c>
      <c r="D705" s="55" t="s">
        <v>332</v>
      </c>
      <c r="E705" s="55">
        <v>7.0</v>
      </c>
      <c r="F705" s="169">
        <v>96.1932</v>
      </c>
      <c r="G705" s="170">
        <v>-681.85</v>
      </c>
      <c r="H705" s="321" t="str">
        <f t="shared" si="697"/>
        <v>Vanguard Total Stock Market ETF@BUY@7@-681.85</v>
      </c>
      <c r="I705" s="171" t="str">
        <f t="shared" ref="I705:J705" si="712">IFS(AND($B705&lt;&gt;"",$E705&lt;&gt;""),IF(INDEX(N:N,MATCH($C705,$P:$P,0),1)&lt;&gt;"",$E705*INDEX(N:N,MATCH($C705,$P:$P,0),1)+$G705,""),AND($B705&lt;&gt;"",$D705="COST",$G705&lt;0),$G705,TRUE,)</f>
        <v/>
      </c>
      <c r="J705" s="171" t="str">
        <f t="shared" si="712"/>
        <v/>
      </c>
      <c r="K705" s="309" t="str">
        <f t="shared" si="3"/>
        <v>Vanguard Total Stock Market ETF</v>
      </c>
      <c r="L705" s="143">
        <f t="shared" si="4"/>
        <v>0</v>
      </c>
      <c r="M705" s="143">
        <f t="shared" si="5"/>
        <v>1880.34</v>
      </c>
      <c r="N705" s="176" t="str">
        <f>IF($P705&lt;&gt;"",IF(MAXIFS(Investment!$M:$M,Investment!$H:$H,LEFT($P705,30)&amp;"*"),MAXIFS(Investment!$M:$M,Investment!$H:$H,LEFT($P705,30)&amp;"*"),),)</f>
        <v/>
      </c>
      <c r="O705" s="177" t="str">
        <f>IF($P705&lt;&gt;"",IF(MAXIFS(Investment!$AI:$AI,Investment!$H:$H,LEFT($P705,30)&amp;"*"),MAXIFS(Investment!$AI:$AI,Investment!$H:$H,LEFT($P705,30)&amp;"*"),),)</f>
        <v/>
      </c>
      <c r="P705" s="310"/>
      <c r="R705" s="52"/>
    </row>
    <row r="706">
      <c r="A706" s="165">
        <v>42348.0</v>
      </c>
      <c r="B706" s="55" t="s">
        <v>122</v>
      </c>
      <c r="C706" s="308" t="s">
        <v>125</v>
      </c>
      <c r="D706" s="55" t="s">
        <v>332</v>
      </c>
      <c r="E706" s="55">
        <v>17.0</v>
      </c>
      <c r="F706" s="169">
        <v>9.4474</v>
      </c>
      <c r="G706" s="170">
        <v>-169.11</v>
      </c>
      <c r="H706" s="321" t="str">
        <f t="shared" si="697"/>
        <v>iShares Gold Trust@BUY@17@-169.11</v>
      </c>
      <c r="I706" s="171" t="str">
        <f t="shared" ref="I706:J706" si="713">IFS(AND($B706&lt;&gt;"",$E706&lt;&gt;""),IF(INDEX(N:N,MATCH($C706,$P:$P,0),1)&lt;&gt;"",$E706*INDEX(N:N,MATCH($C706,$P:$P,0),1)+$G706,""),AND($B706&lt;&gt;"",$D706="COST",$G706&lt;0),$G706,TRUE,)</f>
        <v/>
      </c>
      <c r="J706" s="171" t="str">
        <f t="shared" si="713"/>
        <v/>
      </c>
      <c r="K706" s="309" t="str">
        <f t="shared" si="3"/>
        <v>iShares Gold Trust</v>
      </c>
      <c r="L706" s="143">
        <f t="shared" si="4"/>
        <v>0</v>
      </c>
      <c r="M706" s="143">
        <f t="shared" si="5"/>
        <v>140.23</v>
      </c>
      <c r="N706" s="176" t="str">
        <f>IF($P706&lt;&gt;"",IF(MAXIFS(Investment!$M:$M,Investment!$H:$H,LEFT($P706,30)&amp;"*"),MAXIFS(Investment!$M:$M,Investment!$H:$H,LEFT($P706,30)&amp;"*"),),)</f>
        <v/>
      </c>
      <c r="O706" s="177" t="str">
        <f>IF($P706&lt;&gt;"",IF(MAXIFS(Investment!$AI:$AI,Investment!$H:$H,LEFT($P706,30)&amp;"*"),MAXIFS(Investment!$AI:$AI,Investment!$H:$H,LEFT($P706,30)&amp;"*"),),)</f>
        <v/>
      </c>
      <c r="P706" s="310"/>
      <c r="R706" s="52"/>
    </row>
    <row r="707">
      <c r="A707" s="165">
        <v>42348.0</v>
      </c>
      <c r="B707" s="55" t="s">
        <v>127</v>
      </c>
      <c r="C707" s="308" t="s">
        <v>130</v>
      </c>
      <c r="D707" s="55" t="s">
        <v>332</v>
      </c>
      <c r="E707" s="55">
        <v>1.0</v>
      </c>
      <c r="F707" s="169">
        <v>97.2815</v>
      </c>
      <c r="G707" s="170">
        <v>-105.78</v>
      </c>
      <c r="H707" s="321" t="str">
        <f t="shared" si="697"/>
        <v>iShares 7-10 Year Treasury Bond ETF@BUY@1@-105.78</v>
      </c>
      <c r="I707" s="171" t="str">
        <f t="shared" ref="I707:J707" si="714">IFS(AND($B707&lt;&gt;"",$E707&lt;&gt;""),IF(INDEX(N:N,MATCH($C707,$P:$P,0),1)&lt;&gt;"",$E707*INDEX(N:N,MATCH($C707,$P:$P,0),1)+$G707,""),AND($B707&lt;&gt;"",$D707="COST",$G707&lt;0),$G707,TRUE,)</f>
        <v/>
      </c>
      <c r="J707" s="171" t="str">
        <f t="shared" si="714"/>
        <v/>
      </c>
      <c r="K707" s="309" t="str">
        <f t="shared" si="3"/>
        <v>iShares 7-10 Year Treasury Bond ETF</v>
      </c>
      <c r="L707" s="143">
        <f t="shared" si="4"/>
        <v>0</v>
      </c>
      <c r="M707" s="143">
        <f t="shared" si="5"/>
        <v>-345.82</v>
      </c>
      <c r="N707" s="176" t="str">
        <f>IF($P707&lt;&gt;"",IF(MAXIFS(Investment!$M:$M,Investment!$H:$H,LEFT($P707,30)&amp;"*"),MAXIFS(Investment!$M:$M,Investment!$H:$H,LEFT($P707,30)&amp;"*"),),)</f>
        <v/>
      </c>
      <c r="O707" s="177" t="str">
        <f>IF($P707&lt;&gt;"",IF(MAXIFS(Investment!$AI:$AI,Investment!$H:$H,LEFT($P707,30)&amp;"*"),MAXIFS(Investment!$AI:$AI,Investment!$H:$H,LEFT($P707,30)&amp;"*"),),)</f>
        <v/>
      </c>
      <c r="P707" s="310"/>
      <c r="R707" s="52"/>
    </row>
    <row r="708">
      <c r="A708" s="165">
        <v>42348.0</v>
      </c>
      <c r="B708" s="55" t="s">
        <v>118</v>
      </c>
      <c r="C708" s="308" t="s">
        <v>119</v>
      </c>
      <c r="D708" s="55" t="s">
        <v>332</v>
      </c>
      <c r="E708" s="55">
        <v>30.0</v>
      </c>
      <c r="F708" s="169">
        <v>13.1056</v>
      </c>
      <c r="G708" s="170">
        <v>-401.67</v>
      </c>
      <c r="H708" s="321" t="str">
        <f t="shared" si="697"/>
        <v>iShares Diversified Commodity Swap UCITS ETF DE@BUY@30@-401.67</v>
      </c>
      <c r="I708" s="171" t="str">
        <f t="shared" ref="I708:J708" si="715">IFS(AND($B708&lt;&gt;"",$E708&lt;&gt;""),IF(INDEX(N:N,MATCH($C708,$P:$P,0),1)&lt;&gt;"",$E708*INDEX(N:N,MATCH($C708,$P:$P,0),1)+$G708,""),AND($B708&lt;&gt;"",$D708="COST",$G708&lt;0),$G708,TRUE,)</f>
        <v/>
      </c>
      <c r="J708" s="171" t="str">
        <f t="shared" si="715"/>
        <v/>
      </c>
      <c r="K708" s="309" t="str">
        <f t="shared" si="3"/>
        <v>iShares Diversified Commodity Swap UCITS ETF DE</v>
      </c>
      <c r="L708" s="143">
        <f t="shared" si="4"/>
        <v>0</v>
      </c>
      <c r="M708" s="143">
        <f t="shared" si="5"/>
        <v>-296.42</v>
      </c>
      <c r="N708" s="176" t="str">
        <f>IF($P708&lt;&gt;"",IF(MAXIFS(Investment!$M:$M,Investment!$H:$H,LEFT($P708,30)&amp;"*"),MAXIFS(Investment!$M:$M,Investment!$H:$H,LEFT($P708,30)&amp;"*"),),)</f>
        <v/>
      </c>
      <c r="O708" s="177" t="str">
        <f>IF($P708&lt;&gt;"",IF(MAXIFS(Investment!$AI:$AI,Investment!$H:$H,LEFT($P708,30)&amp;"*"),MAXIFS(Investment!$AI:$AI,Investment!$H:$H,LEFT($P708,30)&amp;"*"),),)</f>
        <v/>
      </c>
      <c r="P708" s="310"/>
      <c r="R708" s="52"/>
    </row>
    <row r="709">
      <c r="A709" s="165">
        <v>42347.0</v>
      </c>
      <c r="B709" s="55" t="s">
        <v>127</v>
      </c>
      <c r="C709" s="308" t="s">
        <v>130</v>
      </c>
      <c r="D709" s="55" t="s">
        <v>307</v>
      </c>
      <c r="E709" s="55"/>
      <c r="F709" s="169"/>
      <c r="G709" s="170">
        <v>4.1</v>
      </c>
      <c r="H709" s="321" t="str">
        <f t="shared" si="697"/>
        <v>iShares 7-10 Year Treasury Bond ETF@DIVIDEND@@4.1</v>
      </c>
      <c r="I709" s="171" t="str">
        <f t="shared" ref="I709:J709" si="716">IFS(AND($B709&lt;&gt;"",$E709&lt;&gt;""),IF(INDEX(N:N,MATCH($C709,$P:$P,0),1)&lt;&gt;"",$E709*INDEX(N:N,MATCH($C709,$P:$P,0),1)+$G709,""),AND($B709&lt;&gt;"",$D709="COST",$G709&lt;0),$G709,TRUE,)</f>
        <v/>
      </c>
      <c r="J709" s="171" t="str">
        <f t="shared" si="716"/>
        <v/>
      </c>
      <c r="K709" s="309" t="str">
        <f t="shared" si="3"/>
        <v>iShares 7-10 Year Treasury Bond ETF</v>
      </c>
      <c r="L709" s="143">
        <f t="shared" si="4"/>
        <v>0</v>
      </c>
      <c r="M709" s="143">
        <f t="shared" si="5"/>
        <v>-345.82</v>
      </c>
      <c r="N709" s="176" t="str">
        <f>IF($P709&lt;&gt;"",IF(MAXIFS(Investment!$M:$M,Investment!$H:$H,LEFT($P709,30)&amp;"*"),MAXIFS(Investment!$M:$M,Investment!$H:$H,LEFT($P709,30)&amp;"*"),),)</f>
        <v/>
      </c>
      <c r="O709" s="177" t="str">
        <f>IF($P709&lt;&gt;"",IF(MAXIFS(Investment!$AI:$AI,Investment!$H:$H,LEFT($P709,30)&amp;"*"),MAXIFS(Investment!$AI:$AI,Investment!$H:$H,LEFT($P709,30)&amp;"*"),),)</f>
        <v/>
      </c>
      <c r="P709" s="310"/>
      <c r="R709" s="52"/>
    </row>
    <row r="710">
      <c r="A710" s="165">
        <v>42318.0</v>
      </c>
      <c r="B710" s="55" t="s">
        <v>127</v>
      </c>
      <c r="C710" s="308" t="s">
        <v>130</v>
      </c>
      <c r="D710" s="55" t="s">
        <v>307</v>
      </c>
      <c r="E710" s="55"/>
      <c r="F710" s="169"/>
      <c r="G710" s="170">
        <v>4.09</v>
      </c>
      <c r="H710" s="321" t="str">
        <f t="shared" si="697"/>
        <v>iShares 7-10 Year Treasury Bond ETF@DIVIDEND@@4.09</v>
      </c>
      <c r="I710" s="171" t="str">
        <f t="shared" ref="I710:J710" si="717">IFS(AND($B710&lt;&gt;"",$E710&lt;&gt;""),IF(INDEX(N:N,MATCH($C710,$P:$P,0),1)&lt;&gt;"",$E710*INDEX(N:N,MATCH($C710,$P:$P,0),1)+$G710,""),AND($B710&lt;&gt;"",$D710="COST",$G710&lt;0),$G710,TRUE,)</f>
        <v/>
      </c>
      <c r="J710" s="171" t="str">
        <f t="shared" si="717"/>
        <v/>
      </c>
      <c r="K710" s="309" t="str">
        <f t="shared" si="3"/>
        <v>iShares 7-10 Year Treasury Bond ETF</v>
      </c>
      <c r="L710" s="143">
        <f t="shared" si="4"/>
        <v>0</v>
      </c>
      <c r="M710" s="143">
        <f t="shared" si="5"/>
        <v>-345.82</v>
      </c>
      <c r="N710" s="176" t="str">
        <f>IF($P710&lt;&gt;"",IF(MAXIFS(Investment!$M:$M,Investment!$H:$H,LEFT($P710,30)&amp;"*"),MAXIFS(Investment!$M:$M,Investment!$H:$H,LEFT($P710,30)&amp;"*"),),)</f>
        <v/>
      </c>
      <c r="O710" s="177" t="str">
        <f>IF($P710&lt;&gt;"",IF(MAXIFS(Investment!$AI:$AI,Investment!$H:$H,LEFT($P710,30)&amp;"*"),MAXIFS(Investment!$AI:$AI,Investment!$H:$H,LEFT($P710,30)&amp;"*"),),)</f>
        <v/>
      </c>
      <c r="P710" s="310"/>
      <c r="R710" s="52"/>
    </row>
    <row r="711">
      <c r="A711" s="165">
        <v>42314.0</v>
      </c>
      <c r="B711" s="55" t="s">
        <v>138</v>
      </c>
      <c r="C711" s="308" t="s">
        <v>141</v>
      </c>
      <c r="D711" s="55" t="s">
        <v>332</v>
      </c>
      <c r="E711" s="55">
        <v>8.0</v>
      </c>
      <c r="F711" s="169">
        <v>98.96531</v>
      </c>
      <c r="G711" s="170">
        <v>-800.22</v>
      </c>
      <c r="H711" s="321" t="str">
        <f t="shared" si="697"/>
        <v>Vanguard Total Stock Market ETF@BUY@8@-800.22</v>
      </c>
      <c r="I711" s="171" t="str">
        <f t="shared" ref="I711:J711" si="718">IFS(AND($B711&lt;&gt;"",$E711&lt;&gt;""),IF(INDEX(N:N,MATCH($C711,$P:$P,0),1)&lt;&gt;"",$E711*INDEX(N:N,MATCH($C711,$P:$P,0),1)+$G711,""),AND($B711&lt;&gt;"",$D711="COST",$G711&lt;0),$G711,TRUE,)</f>
        <v/>
      </c>
      <c r="J711" s="171" t="str">
        <f t="shared" si="718"/>
        <v/>
      </c>
      <c r="K711" s="309" t="str">
        <f t="shared" si="3"/>
        <v>Vanguard Total Stock Market ETF</v>
      </c>
      <c r="L711" s="143">
        <f t="shared" si="4"/>
        <v>0</v>
      </c>
      <c r="M711" s="143">
        <f t="shared" si="5"/>
        <v>1880.34</v>
      </c>
      <c r="N711" s="176" t="str">
        <f>IF($P711&lt;&gt;"",IF(MAXIFS(Investment!$M:$M,Investment!$H:$H,LEFT($P711,30)&amp;"*"),MAXIFS(Investment!$M:$M,Investment!$H:$H,LEFT($P711,30)&amp;"*"),),)</f>
        <v/>
      </c>
      <c r="O711" s="177" t="str">
        <f>IF($P711&lt;&gt;"",IF(MAXIFS(Investment!$AI:$AI,Investment!$H:$H,LEFT($P711,30)&amp;"*"),MAXIFS(Investment!$AI:$AI,Investment!$H:$H,LEFT($P711,30)&amp;"*"),),)</f>
        <v/>
      </c>
      <c r="P711" s="310"/>
      <c r="R711" s="52"/>
    </row>
    <row r="712">
      <c r="A712" s="165">
        <v>42314.0</v>
      </c>
      <c r="B712" s="55" t="s">
        <v>134</v>
      </c>
      <c r="C712" s="308" t="s">
        <v>137</v>
      </c>
      <c r="D712" s="55" t="s">
        <v>332</v>
      </c>
      <c r="E712" s="55">
        <v>9.0</v>
      </c>
      <c r="F712" s="169">
        <v>104.23462</v>
      </c>
      <c r="G712" s="170">
        <v>-946.61</v>
      </c>
      <c r="H712" s="321" t="str">
        <f t="shared" si="697"/>
        <v>Vanguard Extended Duration Treasury ETF@BUY@9@-946.61</v>
      </c>
      <c r="I712" s="171" t="str">
        <f t="shared" ref="I712:J712" si="719">IFS(AND($B712&lt;&gt;"",$E712&lt;&gt;""),IF(INDEX(N:N,MATCH($C712,$P:$P,0),1)&lt;&gt;"",$E712*INDEX(N:N,MATCH($C712,$P:$P,0),1)+$G712,""),AND($B712&lt;&gt;"",$D712="COST",$G712&lt;0),$G712,TRUE,)</f>
        <v/>
      </c>
      <c r="J712" s="171" t="str">
        <f t="shared" si="719"/>
        <v/>
      </c>
      <c r="K712" s="309" t="str">
        <f t="shared" si="3"/>
        <v>Vanguard Extended Duration Treasury ETF</v>
      </c>
      <c r="L712" s="143">
        <f t="shared" si="4"/>
        <v>0</v>
      </c>
      <c r="M712" s="143">
        <f t="shared" si="5"/>
        <v>-4857.35</v>
      </c>
      <c r="N712" s="176" t="str">
        <f>IF($P712&lt;&gt;"",IF(MAXIFS(Investment!$M:$M,Investment!$H:$H,LEFT($P712,30)&amp;"*"),MAXIFS(Investment!$M:$M,Investment!$H:$H,LEFT($P712,30)&amp;"*"),),)</f>
        <v/>
      </c>
      <c r="O712" s="177" t="str">
        <f>IF($P712&lt;&gt;"",IF(MAXIFS(Investment!$AI:$AI,Investment!$H:$H,LEFT($P712,30)&amp;"*"),MAXIFS(Investment!$AI:$AI,Investment!$H:$H,LEFT($P712,30)&amp;"*"),),)</f>
        <v/>
      </c>
      <c r="P712" s="310"/>
      <c r="R712" s="52"/>
    </row>
    <row r="713">
      <c r="A713" s="165">
        <v>42314.0</v>
      </c>
      <c r="B713" s="55" t="s">
        <v>118</v>
      </c>
      <c r="C713" s="308" t="s">
        <v>119</v>
      </c>
      <c r="D713" s="55" t="s">
        <v>332</v>
      </c>
      <c r="E713" s="55">
        <v>2.0</v>
      </c>
      <c r="F713" s="169">
        <v>14.30627</v>
      </c>
      <c r="G713" s="170">
        <v>-37.11</v>
      </c>
      <c r="H713" s="321" t="str">
        <f t="shared" si="697"/>
        <v>iShares Diversified Commodity Swap UCITS ETF DE@BUY@2@-37.11</v>
      </c>
      <c r="I713" s="171" t="str">
        <f t="shared" ref="I713:J713" si="720">IFS(AND($B713&lt;&gt;"",$E713&lt;&gt;""),IF(INDEX(N:N,MATCH($C713,$P:$P,0),1)&lt;&gt;"",$E713*INDEX(N:N,MATCH($C713,$P:$P,0),1)+$G713,""),AND($B713&lt;&gt;"",$D713="COST",$G713&lt;0),$G713,TRUE,)</f>
        <v/>
      </c>
      <c r="J713" s="171" t="str">
        <f t="shared" si="720"/>
        <v/>
      </c>
      <c r="K713" s="309" t="str">
        <f t="shared" si="3"/>
        <v>iShares Diversified Commodity Swap UCITS ETF DE</v>
      </c>
      <c r="L713" s="143">
        <f t="shared" si="4"/>
        <v>0</v>
      </c>
      <c r="M713" s="143">
        <f t="shared" si="5"/>
        <v>-296.42</v>
      </c>
      <c r="N713" s="176" t="str">
        <f>IF($P713&lt;&gt;"",IF(MAXIFS(Investment!$M:$M,Investment!$H:$H,LEFT($P713,30)&amp;"*"),MAXIFS(Investment!$M:$M,Investment!$H:$H,LEFT($P713,30)&amp;"*"),),)</f>
        <v/>
      </c>
      <c r="O713" s="177" t="str">
        <f>IF($P713&lt;&gt;"",IF(MAXIFS(Investment!$AI:$AI,Investment!$H:$H,LEFT($P713,30)&amp;"*"),MAXIFS(Investment!$AI:$AI,Investment!$H:$H,LEFT($P713,30)&amp;"*"),),)</f>
        <v/>
      </c>
      <c r="P713" s="310"/>
      <c r="R713" s="52"/>
    </row>
    <row r="714">
      <c r="A714" s="165">
        <v>42314.0</v>
      </c>
      <c r="B714" s="55" t="s">
        <v>122</v>
      </c>
      <c r="C714" s="308" t="s">
        <v>125</v>
      </c>
      <c r="D714" s="55" t="s">
        <v>332</v>
      </c>
      <c r="E714" s="55">
        <v>20.0</v>
      </c>
      <c r="F714" s="169">
        <v>9.70023</v>
      </c>
      <c r="G714" s="170">
        <v>-202.5</v>
      </c>
      <c r="H714" s="321" t="str">
        <f t="shared" si="697"/>
        <v>iShares Gold Trust@BUY@20@-202.5</v>
      </c>
      <c r="I714" s="171" t="str">
        <f t="shared" ref="I714:J714" si="721">IFS(AND($B714&lt;&gt;"",$E714&lt;&gt;""),IF(INDEX(N:N,MATCH($C714,$P:$P,0),1)&lt;&gt;"",$E714*INDEX(N:N,MATCH($C714,$P:$P,0),1)+$G714,""),AND($B714&lt;&gt;"",$D714="COST",$G714&lt;0),$G714,TRUE,)</f>
        <v/>
      </c>
      <c r="J714" s="171" t="str">
        <f t="shared" si="721"/>
        <v/>
      </c>
      <c r="K714" s="309" t="str">
        <f t="shared" si="3"/>
        <v>iShares Gold Trust</v>
      </c>
      <c r="L714" s="143">
        <f t="shared" si="4"/>
        <v>0</v>
      </c>
      <c r="M714" s="143">
        <f t="shared" si="5"/>
        <v>140.23</v>
      </c>
      <c r="N714" s="176" t="str">
        <f>IF($P714&lt;&gt;"",IF(MAXIFS(Investment!$M:$M,Investment!$H:$H,LEFT($P714,30)&amp;"*"),MAXIFS(Investment!$M:$M,Investment!$H:$H,LEFT($P714,30)&amp;"*"),),)</f>
        <v/>
      </c>
      <c r="O714" s="177" t="str">
        <f>IF($P714&lt;&gt;"",IF(MAXIFS(Investment!$AI:$AI,Investment!$H:$H,LEFT($P714,30)&amp;"*"),MAXIFS(Investment!$AI:$AI,Investment!$H:$H,LEFT($P714,30)&amp;"*"),),)</f>
        <v/>
      </c>
      <c r="P714" s="310"/>
      <c r="R714" s="52"/>
    </row>
    <row r="715">
      <c r="A715" s="315">
        <v>42303.0</v>
      </c>
      <c r="B715" s="318" t="s">
        <v>122</v>
      </c>
      <c r="C715" s="331" t="s">
        <v>125</v>
      </c>
      <c r="D715" s="332" t="s">
        <v>332</v>
      </c>
      <c r="E715" s="318">
        <v>255.0</v>
      </c>
      <c r="F715" s="319">
        <v>10.2342</v>
      </c>
      <c r="G715" s="320">
        <v>-2618.23</v>
      </c>
      <c r="H715" s="321" t="str">
        <f t="shared" si="697"/>
        <v>iShares Gold Trust@BUY@255@-2618.23</v>
      </c>
      <c r="I715" s="171" t="str">
        <f t="shared" ref="I715:J715" si="722">IFS(AND($B715&lt;&gt;"",$E715&lt;&gt;""),IF(INDEX(N:N,MATCH($C715,$P:$P,0),1)&lt;&gt;"",$E715*INDEX(N:N,MATCH($C715,$P:$P,0),1)+$G715,""),AND($B715&lt;&gt;"",$D715="COST",$G715&lt;0),$G715,TRUE,)</f>
        <v/>
      </c>
      <c r="J715" s="171" t="str">
        <f t="shared" si="722"/>
        <v/>
      </c>
      <c r="K715" s="309" t="str">
        <f t="shared" si="3"/>
        <v>iShares Gold Trust</v>
      </c>
      <c r="L715" s="143">
        <f t="shared" si="4"/>
        <v>0</v>
      </c>
      <c r="M715" s="143">
        <f t="shared" si="5"/>
        <v>140.23</v>
      </c>
      <c r="N715" s="176" t="str">
        <f>IF($P715&lt;&gt;"",IF(MAXIFS(Investment!$M:$M,Investment!$H:$H,LEFT($P715,30)&amp;"*"),MAXIFS(Investment!$M:$M,Investment!$H:$H,LEFT($P715,30)&amp;"*"),),)</f>
        <v/>
      </c>
      <c r="O715" s="177" t="str">
        <f>IF($P715&lt;&gt;"",IF(MAXIFS(Investment!$AI:$AI,Investment!$H:$H,LEFT($P715,30)&amp;"*"),MAXIFS(Investment!$AI:$AI,Investment!$H:$H,LEFT($P715,30)&amp;"*"),),)</f>
        <v/>
      </c>
      <c r="P715" s="310"/>
      <c r="R715" s="52"/>
    </row>
    <row r="716">
      <c r="A716" s="315">
        <v>42303.0</v>
      </c>
      <c r="B716" s="318" t="s">
        <v>127</v>
      </c>
      <c r="C716" s="331" t="s">
        <v>130</v>
      </c>
      <c r="D716" s="332" t="s">
        <v>332</v>
      </c>
      <c r="E716" s="318">
        <v>55.0</v>
      </c>
      <c r="F716" s="319">
        <v>97.8714</v>
      </c>
      <c r="G716" s="320">
        <v>-5391.43</v>
      </c>
      <c r="H716" s="321" t="str">
        <f t="shared" si="697"/>
        <v>iShares 7-10 Year Treasury Bond ETF@BUY@55@-5391.43</v>
      </c>
      <c r="I716" s="171" t="str">
        <f t="shared" ref="I716:J716" si="723">IFS(AND($B716&lt;&gt;"",$E716&lt;&gt;""),IF(INDEX(N:N,MATCH($C716,$P:$P,0),1)&lt;&gt;"",$E716*INDEX(N:N,MATCH($C716,$P:$P,0),1)+$G716,""),AND($B716&lt;&gt;"",$D716="COST",$G716&lt;0),$G716,TRUE,)</f>
        <v/>
      </c>
      <c r="J716" s="171" t="str">
        <f t="shared" si="723"/>
        <v/>
      </c>
      <c r="K716" s="309" t="str">
        <f t="shared" si="3"/>
        <v>iShares 7-10 Year Treasury Bond ETF</v>
      </c>
      <c r="L716" s="143">
        <f t="shared" si="4"/>
        <v>0</v>
      </c>
      <c r="M716" s="143">
        <f t="shared" si="5"/>
        <v>-345.82</v>
      </c>
      <c r="N716" s="176" t="str">
        <f>IF($P716&lt;&gt;"",IF(MAXIFS(Investment!$M:$M,Investment!$H:$H,LEFT($P716,30)&amp;"*"),MAXIFS(Investment!$M:$M,Investment!$H:$H,LEFT($P716,30)&amp;"*"),),)</f>
        <v/>
      </c>
      <c r="O716" s="177" t="str">
        <f>IF($P716&lt;&gt;"",IF(MAXIFS(Investment!$AI:$AI,Investment!$H:$H,LEFT($P716,30)&amp;"*"),MAXIFS(Investment!$AI:$AI,Investment!$H:$H,LEFT($P716,30)&amp;"*"),),)</f>
        <v/>
      </c>
      <c r="P716" s="310"/>
      <c r="R716" s="52"/>
    </row>
    <row r="717">
      <c r="A717" s="315">
        <v>42303.0</v>
      </c>
      <c r="B717" s="318" t="s">
        <v>118</v>
      </c>
      <c r="C717" s="331" t="s">
        <v>119</v>
      </c>
      <c r="D717" s="332" t="s">
        <v>332</v>
      </c>
      <c r="E717" s="318">
        <v>179.0</v>
      </c>
      <c r="F717" s="319">
        <v>14.3383</v>
      </c>
      <c r="G717" s="320">
        <v>-2575.06</v>
      </c>
      <c r="H717" s="321" t="str">
        <f t="shared" si="697"/>
        <v>iShares Diversified Commodity Swap UCITS ETF DE@BUY@179@-2575.06</v>
      </c>
      <c r="I717" s="171" t="str">
        <f t="shared" ref="I717:J717" si="724">IFS(AND($B717&lt;&gt;"",$E717&lt;&gt;""),IF(INDEX(N:N,MATCH($C717,$P:$P,0),1)&lt;&gt;"",$E717*INDEX(N:N,MATCH($C717,$P:$P,0),1)+$G717,""),AND($B717&lt;&gt;"",$D717="COST",$G717&lt;0),$G717,TRUE,)</f>
        <v/>
      </c>
      <c r="J717" s="171" t="str">
        <f t="shared" si="724"/>
        <v/>
      </c>
      <c r="K717" s="309" t="str">
        <f t="shared" si="3"/>
        <v>iShares Diversified Commodity Swap UCITS ETF DE</v>
      </c>
      <c r="L717" s="143">
        <f t="shared" si="4"/>
        <v>0</v>
      </c>
      <c r="M717" s="143">
        <f t="shared" si="5"/>
        <v>-296.42</v>
      </c>
      <c r="N717" s="176" t="str">
        <f>IF($P717&lt;&gt;"",IF(MAXIFS(Investment!$M:$M,Investment!$H:$H,LEFT($P717,30)&amp;"*"),MAXIFS(Investment!$M:$M,Investment!$H:$H,LEFT($P717,30)&amp;"*"),),)</f>
        <v/>
      </c>
      <c r="O717" s="177" t="str">
        <f>IF($P717&lt;&gt;"",IF(MAXIFS(Investment!$AI:$AI,Investment!$H:$H,LEFT($P717,30)&amp;"*"),MAXIFS(Investment!$AI:$AI,Investment!$H:$H,LEFT($P717,30)&amp;"*"),),)</f>
        <v/>
      </c>
      <c r="P717" s="310"/>
      <c r="R717" s="52"/>
    </row>
    <row r="718">
      <c r="A718" s="315">
        <v>42303.0</v>
      </c>
      <c r="B718" s="318" t="s">
        <v>134</v>
      </c>
      <c r="C718" s="331" t="s">
        <v>137</v>
      </c>
      <c r="D718" s="332" t="s">
        <v>332</v>
      </c>
      <c r="E718" s="318">
        <v>127.0</v>
      </c>
      <c r="F718" s="319">
        <v>108.0799</v>
      </c>
      <c r="G718" s="320">
        <v>-13738.49</v>
      </c>
      <c r="H718" s="321" t="str">
        <f t="shared" si="697"/>
        <v>Vanguard Extended Duration Treasury ETF@BUY@127@-13738.49</v>
      </c>
      <c r="I718" s="171" t="str">
        <f t="shared" ref="I718:J718" si="725">IFS(AND($B718&lt;&gt;"",$E718&lt;&gt;""),IF(INDEX(N:N,MATCH($C718,$P:$P,0),1)&lt;&gt;"",$E718*INDEX(N:N,MATCH($C718,$P:$P,0),1)+$G718,""),AND($B718&lt;&gt;"",$D718="COST",$G718&lt;0),$G718,TRUE,)</f>
        <v/>
      </c>
      <c r="J718" s="171" t="str">
        <f t="shared" si="725"/>
        <v/>
      </c>
      <c r="K718" s="309" t="str">
        <f t="shared" si="3"/>
        <v>Vanguard Extended Duration Treasury ETF</v>
      </c>
      <c r="L718" s="143">
        <f t="shared" si="4"/>
        <v>0</v>
      </c>
      <c r="M718" s="143">
        <f t="shared" si="5"/>
        <v>-4857.35</v>
      </c>
      <c r="N718" s="176" t="str">
        <f>IF($P718&lt;&gt;"",IF(MAXIFS(Investment!$M:$M,Investment!$H:$H,LEFT($P718,30)&amp;"*"),MAXIFS(Investment!$M:$M,Investment!$H:$H,LEFT($P718,30)&amp;"*"),),)</f>
        <v/>
      </c>
      <c r="O718" s="177" t="str">
        <f>IF($P718&lt;&gt;"",IF(MAXIFS(Investment!$AI:$AI,Investment!$H:$H,LEFT($P718,30)&amp;"*"),MAXIFS(Investment!$AI:$AI,Investment!$H:$H,LEFT($P718,30)&amp;"*"),),)</f>
        <v/>
      </c>
      <c r="P718" s="310"/>
      <c r="R718" s="52"/>
    </row>
    <row r="719">
      <c r="A719" s="315">
        <v>42303.0</v>
      </c>
      <c r="B719" s="318" t="s">
        <v>138</v>
      </c>
      <c r="C719" s="331" t="s">
        <v>141</v>
      </c>
      <c r="D719" s="332" t="s">
        <v>332</v>
      </c>
      <c r="E719" s="318">
        <v>100.0</v>
      </c>
      <c r="F719" s="319">
        <v>95.7279</v>
      </c>
      <c r="G719" s="320">
        <v>-9581.29</v>
      </c>
      <c r="H719" s="321" t="str">
        <f t="shared" si="697"/>
        <v>Vanguard Total Stock Market ETF@BUY@100@-9581.29</v>
      </c>
      <c r="I719" s="171" t="str">
        <f t="shared" ref="I719:J719" si="726">IFS(AND($B719&lt;&gt;"",$E719&lt;&gt;""),IF(INDEX(N:N,MATCH($C719,$P:$P,0),1)&lt;&gt;"",$E719*INDEX(N:N,MATCH($C719,$P:$P,0),1)+$G719,""),AND($B719&lt;&gt;"",$D719="COST",$G719&lt;0),$G719,TRUE,)</f>
        <v/>
      </c>
      <c r="J719" s="171" t="str">
        <f t="shared" si="726"/>
        <v/>
      </c>
      <c r="K719" s="309" t="str">
        <f t="shared" si="3"/>
        <v>Vanguard Total Stock Market ETF</v>
      </c>
      <c r="L719" s="143">
        <f t="shared" si="4"/>
        <v>0</v>
      </c>
      <c r="M719" s="143">
        <f t="shared" si="5"/>
        <v>1880.34</v>
      </c>
      <c r="N719" s="176" t="str">
        <f>IF($P719&lt;&gt;"",IF(MAXIFS(Investment!$M:$M,Investment!$H:$H,LEFT($P719,30)&amp;"*"),MAXIFS(Investment!$M:$M,Investment!$H:$H,LEFT($P719,30)&amp;"*"),),)</f>
        <v/>
      </c>
      <c r="O719" s="177" t="str">
        <f>IF($P719&lt;&gt;"",IF(MAXIFS(Investment!$AI:$AI,Investment!$H:$H,LEFT($P719,30)&amp;"*"),MAXIFS(Investment!$AI:$AI,Investment!$H:$H,LEFT($P719,30)&amp;"*"),),)</f>
        <v/>
      </c>
      <c r="P719" s="310"/>
      <c r="R719" s="52"/>
    </row>
    <row r="720">
      <c r="A720" s="165">
        <v>42302.0</v>
      </c>
      <c r="B720" s="55"/>
      <c r="C720" s="308" t="s">
        <v>1089</v>
      </c>
      <c r="D720" s="55" t="s">
        <v>280</v>
      </c>
      <c r="E720" s="55">
        <v>-117.0</v>
      </c>
      <c r="F720" s="169">
        <v>184.14</v>
      </c>
      <c r="G720" s="170">
        <v>21524.99</v>
      </c>
      <c r="H720" s="321" t="str">
        <f t="shared" si="697"/>
        <v>TOTAL GABON@SELL@-117@21524.99</v>
      </c>
      <c r="I720" s="171" t="str">
        <f t="shared" ref="I720:J720" si="727">IFS(AND($B720&lt;&gt;"",$E720&lt;&gt;""),IF(INDEX(N:N,MATCH($C720,$P:$P,0),1)&lt;&gt;"",$E720*INDEX(N:N,MATCH($C720,$P:$P,0),1)+$G720,""),AND($B720&lt;&gt;"",$D720="COST",$G720&lt;0),$G720,TRUE,)</f>
        <v/>
      </c>
      <c r="J720" s="171" t="str">
        <f t="shared" si="727"/>
        <v/>
      </c>
      <c r="K720" s="309" t="str">
        <f t="shared" si="3"/>
        <v>TOTAL GABON</v>
      </c>
      <c r="L720" s="143">
        <f t="shared" si="4"/>
        <v>0</v>
      </c>
      <c r="M720" s="143">
        <f t="shared" si="5"/>
        <v>-24138.28</v>
      </c>
      <c r="N720" s="176" t="str">
        <f>IF($P720&lt;&gt;"",IF(MAXIFS(Investment!$M:$M,Investment!$H:$H,LEFT($P720,30)&amp;"*"),MAXIFS(Investment!$M:$M,Investment!$H:$H,LEFT($P720,30)&amp;"*"),),)</f>
        <v/>
      </c>
      <c r="O720" s="177" t="str">
        <f>IF($P720&lt;&gt;"",IF(MAXIFS(Investment!$AI:$AI,Investment!$H:$H,LEFT($P720,30)&amp;"*"),MAXIFS(Investment!$AI:$AI,Investment!$H:$H,LEFT($P720,30)&amp;"*"),),)</f>
        <v/>
      </c>
      <c r="P720" s="310"/>
      <c r="R720" s="52"/>
    </row>
    <row r="721">
      <c r="A721" s="165">
        <v>42297.0</v>
      </c>
      <c r="B721" s="154"/>
      <c r="C721" s="329"/>
      <c r="D721" s="55" t="s">
        <v>299</v>
      </c>
      <c r="E721" s="154"/>
      <c r="F721" s="169"/>
      <c r="G721" s="170">
        <v>12000.0</v>
      </c>
      <c r="H721" s="321" t="str">
        <f t="shared" si="697"/>
        <v>@APPROVISIONNEMENT@@12000</v>
      </c>
      <c r="I721" s="171" t="str">
        <f t="shared" ref="I721:J721" si="728">IFS(AND($B721&lt;&gt;"",$E721&lt;&gt;""),IF(INDEX(N:N,MATCH($C721,$P:$P,0),1)&lt;&gt;"",$E721*INDEX(N:N,MATCH($C721,$P:$P,0),1)+$G721,""),AND($B721&lt;&gt;"",$D721="COST",$G721&lt;0),$G721,TRUE,)</f>
        <v/>
      </c>
      <c r="J721" s="171" t="str">
        <f t="shared" si="728"/>
        <v/>
      </c>
      <c r="K721" s="309" t="str">
        <f t="shared" si="3"/>
        <v/>
      </c>
      <c r="L721" s="143" t="str">
        <f t="shared" si="4"/>
        <v/>
      </c>
      <c r="M721" s="143" t="str">
        <f t="shared" si="5"/>
        <v/>
      </c>
      <c r="N721" s="176" t="str">
        <f>IF($P721&lt;&gt;"",IF(MAXIFS(Investment!$M:$M,Investment!$H:$H,LEFT($P721,30)&amp;"*"),MAXIFS(Investment!$M:$M,Investment!$H:$H,LEFT($P721,30)&amp;"*"),),)</f>
        <v/>
      </c>
      <c r="O721" s="177" t="str">
        <f>IF($P721&lt;&gt;"",IF(MAXIFS(Investment!$AI:$AI,Investment!$H:$H,LEFT($P721,30)&amp;"*"),MAXIFS(Investment!$AI:$AI,Investment!$H:$H,LEFT($P721,30)&amp;"*"),),)</f>
        <v/>
      </c>
      <c r="P721" s="310"/>
      <c r="R721" s="52"/>
    </row>
    <row r="722">
      <c r="A722" s="165">
        <v>42173.0</v>
      </c>
      <c r="B722" s="154"/>
      <c r="C722" s="329" t="s">
        <v>1089</v>
      </c>
      <c r="D722" s="55" t="s">
        <v>307</v>
      </c>
      <c r="E722" s="229"/>
      <c r="F722" s="169"/>
      <c r="G722" s="170">
        <v>684.3</v>
      </c>
      <c r="H722" s="321" t="str">
        <f t="shared" si="697"/>
        <v>TOTAL GABON@DIVIDEND@@684.3</v>
      </c>
      <c r="I722" s="171" t="str">
        <f t="shared" ref="I722:J722" si="729">IFS(AND($B722&lt;&gt;"",$E722&lt;&gt;""),IF(INDEX(N:N,MATCH($C722,$P:$P,0),1)&lt;&gt;"",$E722*INDEX(N:N,MATCH($C722,$P:$P,0),1)+$G722,""),AND($B722&lt;&gt;"",$D722="COST",$G722&lt;0),$G722,TRUE,)</f>
        <v/>
      </c>
      <c r="J722" s="171" t="str">
        <f t="shared" si="729"/>
        <v/>
      </c>
      <c r="K722" s="309" t="str">
        <f t="shared" si="3"/>
        <v>TOTAL GABON</v>
      </c>
      <c r="L722" s="143">
        <f t="shared" si="4"/>
        <v>0</v>
      </c>
      <c r="M722" s="143">
        <f t="shared" si="5"/>
        <v>-24138.28</v>
      </c>
      <c r="N722" s="176" t="str">
        <f>IF($P722&lt;&gt;"",IF(MAXIFS(Investment!$M:$M,Investment!$H:$H,LEFT($P722,30)&amp;"*"),MAXIFS(Investment!$M:$M,Investment!$H:$H,LEFT($P722,30)&amp;"*"),),)</f>
        <v/>
      </c>
      <c r="O722" s="177" t="str">
        <f>IF($P722&lt;&gt;"",IF(MAXIFS(Investment!$AI:$AI,Investment!$H:$H,LEFT($P722,30)&amp;"*"),MAXIFS(Investment!$AI:$AI,Investment!$H:$H,LEFT($P722,30)&amp;"*"),),)</f>
        <v/>
      </c>
      <c r="P722" s="310"/>
      <c r="R722" s="52"/>
    </row>
    <row r="723">
      <c r="A723" s="165">
        <v>41983.0</v>
      </c>
      <c r="B723" s="55"/>
      <c r="C723" s="308" t="s">
        <v>1089</v>
      </c>
      <c r="D723" s="55" t="s">
        <v>280</v>
      </c>
      <c r="E723" s="55">
        <v>-21.0</v>
      </c>
      <c r="F723" s="169">
        <v>305.05</v>
      </c>
      <c r="G723" s="170">
        <v>6400.28</v>
      </c>
      <c r="H723" s="321" t="str">
        <f t="shared" si="697"/>
        <v>TOTAL GABON@SELL@-21@6400.28</v>
      </c>
      <c r="I723" s="171" t="str">
        <f t="shared" ref="I723:J723" si="730">IFS(AND($B723&lt;&gt;"",$E723&lt;&gt;""),IF(INDEX(N:N,MATCH($C723,$P:$P,0),1)&lt;&gt;"",$E723*INDEX(N:N,MATCH($C723,$P:$P,0),1)+$G723,""),AND($B723&lt;&gt;"",$D723="COST",$G723&lt;0),$G723,TRUE,)</f>
        <v/>
      </c>
      <c r="J723" s="171" t="str">
        <f t="shared" si="730"/>
        <v/>
      </c>
      <c r="K723" s="309" t="str">
        <f t="shared" si="3"/>
        <v>TOTAL GABON</v>
      </c>
      <c r="L723" s="143">
        <f t="shared" si="4"/>
        <v>0</v>
      </c>
      <c r="M723" s="143">
        <f t="shared" si="5"/>
        <v>-24138.28</v>
      </c>
      <c r="N723" s="176" t="str">
        <f>IF($P723&lt;&gt;"",IF(MAXIFS(Investment!$M:$M,Investment!$H:$H,LEFT($P723,30)&amp;"*"),MAXIFS(Investment!$M:$M,Investment!$H:$H,LEFT($P723,30)&amp;"*"),),)</f>
        <v/>
      </c>
      <c r="O723" s="177" t="str">
        <f>IF($P723&lt;&gt;"",IF(MAXIFS(Investment!$AI:$AI,Investment!$H:$H,LEFT($P723,30)&amp;"*"),MAXIFS(Investment!$AI:$AI,Investment!$H:$H,LEFT($P723,30)&amp;"*"),),)</f>
        <v/>
      </c>
      <c r="P723" s="48"/>
    </row>
    <row r="724">
      <c r="A724" s="165">
        <v>41982.0</v>
      </c>
      <c r="B724" s="154"/>
      <c r="C724" s="329"/>
      <c r="D724" s="55" t="s">
        <v>301</v>
      </c>
      <c r="E724" s="154"/>
      <c r="F724" s="169"/>
      <c r="G724" s="170">
        <v>-6.0</v>
      </c>
      <c r="H724" s="321" t="str">
        <f t="shared" si="697"/>
        <v>@COST@@-6</v>
      </c>
      <c r="I724" s="171" t="str">
        <f t="shared" ref="I724:J724" si="731">IFS(AND($B724&lt;&gt;"",$E724&lt;&gt;""),IF(INDEX(N:N,MATCH($C724,$P:$P,0),1)&lt;&gt;"",$E724*INDEX(N:N,MATCH($C724,$P:$P,0),1)+$G724,""),AND($B724&lt;&gt;"",$D724="COST",$G724&lt;0),$G724,TRUE,)</f>
        <v/>
      </c>
      <c r="J724" s="171" t="str">
        <f t="shared" si="731"/>
        <v/>
      </c>
      <c r="K724" s="309" t="str">
        <f t="shared" si="3"/>
        <v/>
      </c>
      <c r="L724" s="143" t="str">
        <f t="shared" si="4"/>
        <v/>
      </c>
      <c r="M724" s="143" t="str">
        <f t="shared" si="5"/>
        <v/>
      </c>
      <c r="N724" s="176" t="str">
        <f>IF($P724&lt;&gt;"",IF(MAXIFS(Investment!$M:$M,Investment!$H:$H,LEFT($P724,30)&amp;"*"),MAXIFS(Investment!$M:$M,Investment!$H:$H,LEFT($P724,30)&amp;"*"),),)</f>
        <v/>
      </c>
      <c r="O724" s="177" t="str">
        <f>IF($P724&lt;&gt;"",IF(MAXIFS(Investment!$AI:$AI,Investment!$H:$H,LEFT($P724,30)&amp;"*"),MAXIFS(Investment!$AI:$AI,Investment!$H:$H,LEFT($P724,30)&amp;"*"),),)</f>
        <v/>
      </c>
      <c r="P724" s="48"/>
    </row>
    <row r="725">
      <c r="A725" s="165">
        <v>41981.0</v>
      </c>
      <c r="B725" s="154"/>
      <c r="C725" s="329"/>
      <c r="D725" s="55" t="s">
        <v>299</v>
      </c>
      <c r="E725" s="154"/>
      <c r="F725" s="169"/>
      <c r="G725" s="170">
        <v>-13500.0</v>
      </c>
      <c r="H725" s="321" t="str">
        <f t="shared" si="697"/>
        <v>@APPROVISIONNEMENT@@-13500</v>
      </c>
      <c r="I725" s="171" t="str">
        <f t="shared" ref="I725:J725" si="732">IFS(AND($B725&lt;&gt;"",$E725&lt;&gt;""),IF(INDEX(N:N,MATCH($C725,$P:$P,0),1)&lt;&gt;"",$E725*INDEX(N:N,MATCH($C725,$P:$P,0),1)+$G725,""),AND($B725&lt;&gt;"",$D725="COST",$G725&lt;0),$G725,TRUE,)</f>
        <v/>
      </c>
      <c r="J725" s="171" t="str">
        <f t="shared" si="732"/>
        <v/>
      </c>
      <c r="K725" s="309" t="str">
        <f t="shared" si="3"/>
        <v/>
      </c>
      <c r="L725" s="143" t="str">
        <f t="shared" si="4"/>
        <v/>
      </c>
      <c r="M725" s="143" t="str">
        <f t="shared" si="5"/>
        <v/>
      </c>
      <c r="N725" s="176" t="str">
        <f>IF($P725&lt;&gt;"",IF(MAXIFS(Investment!$M:$M,Investment!$H:$H,LEFT($P725,30)&amp;"*"),MAXIFS(Investment!$M:$M,Investment!$H:$H,LEFT($P725,30)&amp;"*"),),)</f>
        <v/>
      </c>
      <c r="O725" s="177" t="str">
        <f>IF($P725&lt;&gt;"",IF(MAXIFS(Investment!$AI:$AI,Investment!$H:$H,LEFT($P725,30)&amp;"*"),MAXIFS(Investment!$AI:$AI,Investment!$H:$H,LEFT($P725,30)&amp;"*"),),)</f>
        <v/>
      </c>
      <c r="P725" s="48"/>
    </row>
    <row r="726">
      <c r="A726" s="165">
        <v>41981.0</v>
      </c>
      <c r="B726" s="154"/>
      <c r="C726" s="329"/>
      <c r="D726" s="55" t="s">
        <v>299</v>
      </c>
      <c r="E726" s="154"/>
      <c r="F726" s="169"/>
      <c r="G726" s="170">
        <v>7020.41</v>
      </c>
      <c r="H726" s="321" t="str">
        <f t="shared" si="697"/>
        <v>@APPROVISIONNEMENT@@7020.41</v>
      </c>
      <c r="I726" s="171" t="str">
        <f t="shared" ref="I726:J726" si="733">IFS(AND($B726&lt;&gt;"",$E726&lt;&gt;""),IF(INDEX(N:N,MATCH($C726,$P:$P,0),1)&lt;&gt;"",$E726*INDEX(N:N,MATCH($C726,$P:$P,0),1)+$G726,""),AND($B726&lt;&gt;"",$D726="COST",$G726&lt;0),$G726,TRUE,)</f>
        <v/>
      </c>
      <c r="J726" s="171" t="str">
        <f t="shared" si="733"/>
        <v/>
      </c>
      <c r="K726" s="309" t="str">
        <f t="shared" si="3"/>
        <v/>
      </c>
      <c r="L726" s="143" t="str">
        <f t="shared" si="4"/>
        <v/>
      </c>
      <c r="M726" s="143" t="str">
        <f t="shared" si="5"/>
        <v/>
      </c>
      <c r="N726" s="176" t="str">
        <f>IF($P726&lt;&gt;"",IF(MAXIFS(Investment!$M:$M,Investment!$H:$H,LEFT($P726,30)&amp;"*"),MAXIFS(Investment!$M:$M,Investment!$H:$H,LEFT($P726,30)&amp;"*"),),)</f>
        <v/>
      </c>
      <c r="O726" s="177" t="str">
        <f>IF($P726&lt;&gt;"",IF(MAXIFS(Investment!$AI:$AI,Investment!$H:$H,LEFT($P726,30)&amp;"*"),MAXIFS(Investment!$AI:$AI,Investment!$H:$H,LEFT($P726,30)&amp;"*"),),)</f>
        <v/>
      </c>
      <c r="P726" s="48"/>
    </row>
    <row r="727">
      <c r="A727" s="165">
        <v>41933.0</v>
      </c>
      <c r="B727" s="154"/>
      <c r="C727" s="329" t="s">
        <v>1089</v>
      </c>
      <c r="D727" s="55" t="s">
        <v>332</v>
      </c>
      <c r="E727" s="29">
        <v>38.0</v>
      </c>
      <c r="F727" s="169">
        <v>346.34</v>
      </c>
      <c r="G727" s="170">
        <v>-13172.76</v>
      </c>
      <c r="H727" s="321" t="str">
        <f t="shared" si="697"/>
        <v>TOTAL GABON@BUY@38@-13172.76</v>
      </c>
      <c r="I727" s="171" t="str">
        <f t="shared" ref="I727:J727" si="734">IFS(AND($B727&lt;&gt;"",$E727&lt;&gt;""),IF(INDEX(N:N,MATCH($C727,$P:$P,0),1)&lt;&gt;"",$E727*INDEX(N:N,MATCH($C727,$P:$P,0),1)+$G727,""),AND($B727&lt;&gt;"",$D727="COST",$G727&lt;0),$G727,TRUE,)</f>
        <v/>
      </c>
      <c r="J727" s="171" t="str">
        <f t="shared" si="734"/>
        <v/>
      </c>
      <c r="K727" s="309" t="str">
        <f t="shared" si="3"/>
        <v>TOTAL GABON</v>
      </c>
      <c r="L727" s="143">
        <f t="shared" si="4"/>
        <v>0</v>
      </c>
      <c r="M727" s="143">
        <f t="shared" si="5"/>
        <v>-24138.28</v>
      </c>
      <c r="N727" s="176" t="str">
        <f>IF($P727&lt;&gt;"",IF(MAXIFS(Investment!$M:$M,Investment!$H:$H,LEFT($P727,30)&amp;"*"),MAXIFS(Investment!$M:$M,Investment!$H:$H,LEFT($P727,30)&amp;"*"),),)</f>
        <v/>
      </c>
      <c r="O727" s="177" t="str">
        <f>IF($P727&lt;&gt;"",IF(MAXIFS(Investment!$AI:$AI,Investment!$H:$H,LEFT($P727,30)&amp;"*"),MAXIFS(Investment!$AI:$AI,Investment!$H:$H,LEFT($P727,30)&amp;"*"),),)</f>
        <v/>
      </c>
      <c r="P727" s="310"/>
      <c r="R727" s="52"/>
    </row>
    <row r="728">
      <c r="A728" s="165">
        <v>41887.0</v>
      </c>
      <c r="C728" s="48" t="s">
        <v>1090</v>
      </c>
      <c r="D728" s="55" t="s">
        <v>280</v>
      </c>
      <c r="E728" s="29">
        <v>-525.0</v>
      </c>
      <c r="F728" s="169">
        <v>25.3755</v>
      </c>
      <c r="G728" s="170">
        <v>13310.15</v>
      </c>
      <c r="H728" s="321" t="str">
        <f t="shared" si="697"/>
        <v>EDF@SELL@-525@13310.15</v>
      </c>
      <c r="I728" s="171" t="str">
        <f t="shared" ref="I728:J728" si="735">IFS(AND($B728&lt;&gt;"",$E728&lt;&gt;""),IF(INDEX(N:N,MATCH($C728,$P:$P,0),1)&lt;&gt;"",$E728*INDEX(N:N,MATCH($C728,$P:$P,0),1)+$G728,""),AND($B728&lt;&gt;"",$D728="COST",$G728&lt;0),$G728,TRUE,)</f>
        <v/>
      </c>
      <c r="J728" s="171" t="str">
        <f t="shared" si="735"/>
        <v/>
      </c>
      <c r="K728" s="309" t="str">
        <f t="shared" si="3"/>
        <v>EDF</v>
      </c>
      <c r="L728" s="143">
        <f t="shared" si="4"/>
        <v>0</v>
      </c>
      <c r="M728" s="143">
        <f t="shared" si="5"/>
        <v>1451.96</v>
      </c>
      <c r="N728" s="176" t="str">
        <f>IF($P728&lt;&gt;"",IF(MAXIFS(Investment!$M:$M,Investment!$H:$H,LEFT($P728,30)&amp;"*"),MAXIFS(Investment!$M:$M,Investment!$H:$H,LEFT($P728,30)&amp;"*"),),)</f>
        <v/>
      </c>
      <c r="O728" s="177" t="str">
        <f>IF($P728&lt;&gt;"",IF(MAXIFS(Investment!$AI:$AI,Investment!$H:$H,LEFT($P728,30)&amp;"*"),MAXIFS(Investment!$AI:$AI,Investment!$H:$H,LEFT($P728,30)&amp;"*"),),)</f>
        <v/>
      </c>
      <c r="P728" s="310"/>
      <c r="R728" s="52"/>
    </row>
    <row r="729">
      <c r="A729" s="165">
        <v>41821.0</v>
      </c>
      <c r="B729" s="333"/>
      <c r="C729" s="334" t="s">
        <v>1090</v>
      </c>
      <c r="D729" s="166" t="s">
        <v>301</v>
      </c>
      <c r="E729" s="29"/>
      <c r="F729" s="169"/>
      <c r="G729" s="170">
        <v>-24.17</v>
      </c>
      <c r="H729" s="321" t="str">
        <f t="shared" si="697"/>
        <v>EDF@COST@@-24.17</v>
      </c>
      <c r="I729" s="171" t="str">
        <f t="shared" ref="I729:J729" si="736">IFS(AND($B729&lt;&gt;"",$E729&lt;&gt;""),IF(INDEX(N:N,MATCH($C729,$P:$P,0),1)&lt;&gt;"",$E729*INDEX(N:N,MATCH($C729,$P:$P,0),1)+$G729,""),AND($B729&lt;&gt;"",$D729="COST",$G729&lt;0),$G729,TRUE,)</f>
        <v/>
      </c>
      <c r="J729" s="171" t="str">
        <f t="shared" si="736"/>
        <v/>
      </c>
      <c r="K729" s="309" t="str">
        <f t="shared" si="3"/>
        <v>EDF</v>
      </c>
      <c r="L729" s="143">
        <f t="shared" si="4"/>
        <v>0</v>
      </c>
      <c r="M729" s="143">
        <f t="shared" si="5"/>
        <v>1451.96</v>
      </c>
      <c r="N729" s="176" t="str">
        <f>IF($P729&lt;&gt;"",IF(MAXIFS(Investment!$M:$M,Investment!$H:$H,LEFT($P729,30)&amp;"*"),MAXIFS(Investment!$M:$M,Investment!$H:$H,LEFT($P729,30)&amp;"*"),),)</f>
        <v/>
      </c>
      <c r="O729" s="177" t="str">
        <f>IF($P729&lt;&gt;"",IF(MAXIFS(Investment!$AI:$AI,Investment!$H:$H,LEFT($P729,30)&amp;"*"),MAXIFS(Investment!$AI:$AI,Investment!$H:$H,LEFT($P729,30)&amp;"*"),),)</f>
        <v/>
      </c>
      <c r="P729" s="172"/>
      <c r="Q729" s="143"/>
      <c r="R729" s="259"/>
    </row>
    <row r="730">
      <c r="A730" s="165">
        <v>41821.0</v>
      </c>
      <c r="C730" s="48" t="s">
        <v>1090</v>
      </c>
      <c r="D730" s="55" t="s">
        <v>332</v>
      </c>
      <c r="E730" s="55">
        <v>525.0</v>
      </c>
      <c r="F730" s="169">
        <v>23.02</v>
      </c>
      <c r="G730" s="170">
        <v>-12096.38</v>
      </c>
      <c r="H730" s="321" t="str">
        <f t="shared" si="697"/>
        <v>EDF@BUY@525@-12096.38</v>
      </c>
      <c r="I730" s="171" t="str">
        <f t="shared" ref="I730:J730" si="737">IFS(AND($B730&lt;&gt;"",$E730&lt;&gt;""),IF(INDEX(N:N,MATCH($C730,$P:$P,0),1)&lt;&gt;"",$E730*INDEX(N:N,MATCH($C730,$P:$P,0),1)+$G730,""),AND($B730&lt;&gt;"",$D730="COST",$G730&lt;0),$G730,TRUE,)</f>
        <v/>
      </c>
      <c r="J730" s="171" t="str">
        <f t="shared" si="737"/>
        <v/>
      </c>
      <c r="K730" s="309" t="str">
        <f t="shared" si="3"/>
        <v>EDF</v>
      </c>
      <c r="L730" s="143">
        <f t="shared" si="4"/>
        <v>0</v>
      </c>
      <c r="M730" s="143">
        <f t="shared" si="5"/>
        <v>1451.96</v>
      </c>
      <c r="N730" s="176" t="str">
        <f>IF($P730&lt;&gt;"",IF(MAXIFS(Investment!$M:$M,Investment!$H:$H,LEFT($P730,30)&amp;"*"),MAXIFS(Investment!$M:$M,Investment!$H:$H,LEFT($P730,30)&amp;"*"),),)</f>
        <v/>
      </c>
      <c r="O730" s="177" t="str">
        <f>IF($P730&lt;&gt;"",IF(MAXIFS(Investment!$AI:$AI,Investment!$H:$H,LEFT($P730,30)&amp;"*"),MAXIFS(Investment!$AI:$AI,Investment!$H:$H,LEFT($P730,30)&amp;"*"),),)</f>
        <v/>
      </c>
      <c r="P730" s="310"/>
      <c r="R730" s="52"/>
    </row>
    <row r="731">
      <c r="A731" s="165">
        <v>41816.0</v>
      </c>
      <c r="C731" s="48" t="s">
        <v>1091</v>
      </c>
      <c r="D731" s="55" t="s">
        <v>280</v>
      </c>
      <c r="E731" s="29">
        <v>-345.0</v>
      </c>
      <c r="F731" s="169">
        <v>31.1974</v>
      </c>
      <c r="G731" s="170">
        <v>10753.41</v>
      </c>
      <c r="H731" s="321" t="str">
        <f t="shared" si="697"/>
        <v>BOUYGUES@SELL@-345@10753.41</v>
      </c>
      <c r="I731" s="171" t="str">
        <f t="shared" ref="I731:J731" si="738">IFS(AND($B731&lt;&gt;"",$E731&lt;&gt;""),IF(INDEX(N:N,MATCH($C731,$P:$P,0),1)&lt;&gt;"",$E731*INDEX(N:N,MATCH($C731,$P:$P,0),1)+$G731,""),AND($B731&lt;&gt;"",$D731="COST",$G731&lt;0),$G731,TRUE,)</f>
        <v/>
      </c>
      <c r="J731" s="171" t="str">
        <f t="shared" si="738"/>
        <v/>
      </c>
      <c r="K731" s="309" t="str">
        <f t="shared" si="3"/>
        <v>BOUYGUES</v>
      </c>
      <c r="L731" s="143">
        <f t="shared" si="4"/>
        <v>0</v>
      </c>
      <c r="M731" s="143">
        <f t="shared" si="5"/>
        <v>1091.52</v>
      </c>
      <c r="N731" s="176" t="str">
        <f>IF($P731&lt;&gt;"",IF(MAXIFS(Investment!$M:$M,Investment!$H:$H,LEFT($P731,30)&amp;"*"),MAXIFS(Investment!$M:$M,Investment!$H:$H,LEFT($P731,30)&amp;"*"),),)</f>
        <v/>
      </c>
      <c r="O731" s="177" t="str">
        <f>IF($P731&lt;&gt;"",IF(MAXIFS(Investment!$AI:$AI,Investment!$H:$H,LEFT($P731,30)&amp;"*"),MAXIFS(Investment!$AI:$AI,Investment!$H:$H,LEFT($P731,30)&amp;"*"),),)</f>
        <v/>
      </c>
      <c r="P731" s="310"/>
      <c r="R731" s="52"/>
    </row>
    <row r="732">
      <c r="A732" s="165">
        <v>41809.0</v>
      </c>
      <c r="B732" s="154"/>
      <c r="C732" s="329" t="s">
        <v>1089</v>
      </c>
      <c r="D732" s="55" t="s">
        <v>307</v>
      </c>
      <c r="E732" s="29"/>
      <c r="F732" s="169"/>
      <c r="G732" s="170">
        <v>1586.91</v>
      </c>
      <c r="H732" s="321" t="str">
        <f t="shared" si="697"/>
        <v>TOTAL GABON@DIVIDEND@@1586.91</v>
      </c>
      <c r="I732" s="171" t="str">
        <f t="shared" ref="I732:J732" si="739">IFS(AND($B732&lt;&gt;"",$E732&lt;&gt;""),IF(INDEX(N:N,MATCH($C732,$P:$P,0),1)&lt;&gt;"",$E732*INDEX(N:N,MATCH($C732,$P:$P,0),1)+$G732,""),AND($B732&lt;&gt;"",$D732="COST",$G732&lt;0),$G732,TRUE,)</f>
        <v/>
      </c>
      <c r="J732" s="171" t="str">
        <f t="shared" si="739"/>
        <v/>
      </c>
      <c r="K732" s="309" t="str">
        <f t="shared" si="3"/>
        <v>TOTAL GABON</v>
      </c>
      <c r="L732" s="143">
        <f t="shared" si="4"/>
        <v>0</v>
      </c>
      <c r="M732" s="143">
        <f t="shared" si="5"/>
        <v>-24138.28</v>
      </c>
      <c r="N732" s="176" t="str">
        <f>IF($P732&lt;&gt;"",IF(MAXIFS(Investment!$M:$M,Investment!$H:$H,LEFT($P732,30)&amp;"*"),MAXIFS(Investment!$M:$M,Investment!$H:$H,LEFT($P732,30)&amp;"*"),),)</f>
        <v/>
      </c>
      <c r="O732" s="177" t="str">
        <f>IF($P732&lt;&gt;"",IF(MAXIFS(Investment!$AI:$AI,Investment!$H:$H,LEFT($P732,30)&amp;"*"),MAXIFS(Investment!$AI:$AI,Investment!$H:$H,LEFT($P732,30)&amp;"*"),),)</f>
        <v/>
      </c>
      <c r="P732" s="310"/>
      <c r="R732" s="52"/>
    </row>
    <row r="733">
      <c r="A733" s="165">
        <v>41794.0</v>
      </c>
      <c r="C733" s="48" t="s">
        <v>1091</v>
      </c>
      <c r="D733" s="55" t="s">
        <v>307</v>
      </c>
      <c r="E733" s="29"/>
      <c r="F733" s="169"/>
      <c r="G733" s="170">
        <v>330.2</v>
      </c>
      <c r="H733" s="321" t="str">
        <f t="shared" si="697"/>
        <v>BOUYGUES@DIVIDEND@@330.2</v>
      </c>
      <c r="I733" s="171" t="str">
        <f t="shared" ref="I733:J733" si="740">IFS(AND($B733&lt;&gt;"",$E733&lt;&gt;""),IF(INDEX(N:N,MATCH($C733,$P:$P,0),1)&lt;&gt;"",$E733*INDEX(N:N,MATCH($C733,$P:$P,0),1)+$G733,""),AND($B733&lt;&gt;"",$D733="COST",$G733&lt;0),$G733,TRUE,)</f>
        <v/>
      </c>
      <c r="J733" s="171" t="str">
        <f t="shared" si="740"/>
        <v/>
      </c>
      <c r="K733" s="309" t="str">
        <f t="shared" si="3"/>
        <v>BOUYGUES</v>
      </c>
      <c r="L733" s="143">
        <f t="shared" si="4"/>
        <v>0</v>
      </c>
      <c r="M733" s="143">
        <f t="shared" si="5"/>
        <v>1091.52</v>
      </c>
      <c r="N733" s="176" t="str">
        <f>IF($P733&lt;&gt;"",IF(MAXIFS(Investment!$M:$M,Investment!$H:$H,LEFT($P733,30)&amp;"*"),MAXIFS(Investment!$M:$M,Investment!$H:$H,LEFT($P733,30)&amp;"*"),),)</f>
        <v/>
      </c>
      <c r="O733" s="177" t="str">
        <f>IF($P733&lt;&gt;"",IF(MAXIFS(Investment!$AI:$AI,Investment!$H:$H,LEFT($P733,30)&amp;"*"),MAXIFS(Investment!$AI:$AI,Investment!$H:$H,LEFT($P733,30)&amp;"*"),),)</f>
        <v/>
      </c>
      <c r="P733" s="310"/>
      <c r="R733" s="52"/>
    </row>
    <row r="734">
      <c r="A734" s="165">
        <v>41764.0</v>
      </c>
      <c r="C734" s="48" t="s">
        <v>1091</v>
      </c>
      <c r="D734" s="330" t="s">
        <v>301</v>
      </c>
      <c r="E734" s="29">
        <v>20.0</v>
      </c>
      <c r="F734" s="169">
        <v>25.21</v>
      </c>
      <c r="G734" s="170">
        <v>0.0</v>
      </c>
      <c r="H734" s="321" t="str">
        <f t="shared" si="697"/>
        <v>BOUYGUES@COST@20@0</v>
      </c>
      <c r="I734" s="171" t="str">
        <f t="shared" ref="I734:J734" si="741">IFS(AND($B734&lt;&gt;"",$E734&lt;&gt;""),IF(INDEX(N:N,MATCH($C734,$P:$P,0),1)&lt;&gt;"",$E734*INDEX(N:N,MATCH($C734,$P:$P,0),1)+$G734,""),AND($B734&lt;&gt;"",$D734="COST",$G734&lt;0),$G734,TRUE,)</f>
        <v/>
      </c>
      <c r="J734" s="171" t="str">
        <f t="shared" si="741"/>
        <v/>
      </c>
      <c r="K734" s="309" t="str">
        <f t="shared" si="3"/>
        <v>BOUYGUES</v>
      </c>
      <c r="L734" s="143">
        <f t="shared" si="4"/>
        <v>0</v>
      </c>
      <c r="M734" s="143">
        <f t="shared" si="5"/>
        <v>1091.52</v>
      </c>
      <c r="N734" s="176" t="str">
        <f>IF($P734&lt;&gt;"",IF(MAXIFS(Investment!$M:$M,Investment!$H:$H,LEFT($P734,30)&amp;"*"),MAXIFS(Investment!$M:$M,Investment!$H:$H,LEFT($P734,30)&amp;"*"),),)</f>
        <v/>
      </c>
      <c r="O734" s="177" t="str">
        <f>IF($P734&lt;&gt;"",IF(MAXIFS(Investment!$AI:$AI,Investment!$H:$H,LEFT($P734,30)&amp;"*"),MAXIFS(Investment!$AI:$AI,Investment!$H:$H,LEFT($P734,30)&amp;"*"),),)</f>
        <v/>
      </c>
      <c r="P734" s="310"/>
      <c r="R734" s="52"/>
    </row>
    <row r="735">
      <c r="A735" s="165">
        <v>41764.0</v>
      </c>
      <c r="B735" s="55"/>
      <c r="C735" s="308" t="s">
        <v>1091</v>
      </c>
      <c r="D735" s="330" t="s">
        <v>301</v>
      </c>
      <c r="E735" s="29"/>
      <c r="F735" s="169"/>
      <c r="G735" s="170">
        <v>-504.2</v>
      </c>
      <c r="H735" s="321" t="str">
        <f t="shared" si="697"/>
        <v>BOUYGUES@COST@@-504.2</v>
      </c>
      <c r="I735" s="171" t="str">
        <f t="shared" ref="I735:J735" si="742">IFS(AND($B735&lt;&gt;"",$E735&lt;&gt;""),IF(INDEX(N:N,MATCH($C735,$P:$P,0),1)&lt;&gt;"",$E735*INDEX(N:N,MATCH($C735,$P:$P,0),1)+$G735,""),AND($B735&lt;&gt;"",$D735="COST",$G735&lt;0),$G735,TRUE,)</f>
        <v/>
      </c>
      <c r="J735" s="171" t="str">
        <f t="shared" si="742"/>
        <v/>
      </c>
      <c r="K735" s="309" t="str">
        <f t="shared" si="3"/>
        <v>BOUYGUES</v>
      </c>
      <c r="L735" s="143">
        <f t="shared" si="4"/>
        <v>0</v>
      </c>
      <c r="M735" s="143">
        <f t="shared" si="5"/>
        <v>1091.52</v>
      </c>
      <c r="N735" s="176" t="str">
        <f>IF($P735&lt;&gt;"",IF(MAXIFS(Investment!$M:$M,Investment!$H:$H,LEFT($P735,30)&amp;"*"),MAXIFS(Investment!$M:$M,Investment!$H:$H,LEFT($P735,30)&amp;"*"),),)</f>
        <v/>
      </c>
      <c r="O735" s="177" t="str">
        <f>IF($P735&lt;&gt;"",IF(MAXIFS(Investment!$AI:$AI,Investment!$H:$H,LEFT($P735,30)&amp;"*"),MAXIFS(Investment!$AI:$AI,Investment!$H:$H,LEFT($P735,30)&amp;"*"),),)</f>
        <v/>
      </c>
      <c r="P735" s="310"/>
      <c r="R735" s="52"/>
    </row>
    <row r="736">
      <c r="A736" s="165">
        <v>41746.0</v>
      </c>
      <c r="C736" s="48" t="s">
        <v>1091</v>
      </c>
      <c r="D736" s="55" t="s">
        <v>332</v>
      </c>
      <c r="E736" s="29">
        <v>325.0</v>
      </c>
      <c r="F736" s="169">
        <v>29.205</v>
      </c>
      <c r="G736" s="170">
        <v>-9500.17</v>
      </c>
      <c r="H736" s="321" t="str">
        <f t="shared" si="697"/>
        <v>BOUYGUES@BUY@325@-9500.17</v>
      </c>
      <c r="I736" s="171" t="str">
        <f t="shared" ref="I736:J736" si="743">IFS(AND($B736&lt;&gt;"",$E736&lt;&gt;""),IF(INDEX(N:N,MATCH($C736,$P:$P,0),1)&lt;&gt;"",$E736*INDEX(N:N,MATCH($C736,$P:$P,0),1)+$G736,""),AND($B736&lt;&gt;"",$D736="COST",$G736&lt;0),$G736,TRUE,)</f>
        <v/>
      </c>
      <c r="J736" s="171" t="str">
        <f t="shared" si="743"/>
        <v/>
      </c>
      <c r="K736" s="309" t="str">
        <f t="shared" si="3"/>
        <v>BOUYGUES</v>
      </c>
      <c r="L736" s="143">
        <f t="shared" si="4"/>
        <v>0</v>
      </c>
      <c r="M736" s="143">
        <f t="shared" si="5"/>
        <v>1091.52</v>
      </c>
      <c r="N736" s="176" t="str">
        <f>IF($P736&lt;&gt;"",IF(MAXIFS(Investment!$M:$M,Investment!$H:$H,LEFT($P736,30)&amp;"*"),MAXIFS(Investment!$M:$M,Investment!$H:$H,LEFT($P736,30)&amp;"*"),),)</f>
        <v/>
      </c>
      <c r="O736" s="177" t="str">
        <f>IF($P736&lt;&gt;"",IF(MAXIFS(Investment!$AI:$AI,Investment!$H:$H,LEFT($P736,30)&amp;"*"),MAXIFS(Investment!$AI:$AI,Investment!$H:$H,LEFT($P736,30)&amp;"*"),),)</f>
        <v/>
      </c>
      <c r="P736" s="310"/>
      <c r="R736" s="52"/>
    </row>
    <row r="737">
      <c r="A737" s="165">
        <v>41746.0</v>
      </c>
      <c r="B737" s="55"/>
      <c r="C737" s="308" t="s">
        <v>1091</v>
      </c>
      <c r="D737" s="330" t="s">
        <v>301</v>
      </c>
      <c r="E737" s="29"/>
      <c r="F737" s="169"/>
      <c r="G737" s="170">
        <v>-18.98</v>
      </c>
      <c r="H737" s="321" t="str">
        <f t="shared" si="697"/>
        <v>BOUYGUES@COST@@-18.98</v>
      </c>
      <c r="I737" s="171" t="str">
        <f t="shared" ref="I737:J737" si="744">IFS(AND($B737&lt;&gt;"",$E737&lt;&gt;""),IF(INDEX(N:N,MATCH($C737,$P:$P,0),1)&lt;&gt;"",$E737*INDEX(N:N,MATCH($C737,$P:$P,0),1)+$G737,""),AND($B737&lt;&gt;"",$D737="COST",$G737&lt;0),$G737,TRUE,)</f>
        <v/>
      </c>
      <c r="J737" s="171" t="str">
        <f t="shared" si="744"/>
        <v/>
      </c>
      <c r="K737" s="309" t="str">
        <f t="shared" si="3"/>
        <v>BOUYGUES</v>
      </c>
      <c r="L737" s="143">
        <f t="shared" si="4"/>
        <v>0</v>
      </c>
      <c r="M737" s="143">
        <f t="shared" si="5"/>
        <v>1091.52</v>
      </c>
      <c r="N737" s="176" t="str">
        <f>IF($P737&lt;&gt;"",IF(MAXIFS(Investment!$M:$M,Investment!$H:$H,LEFT($P737,30)&amp;"*"),MAXIFS(Investment!$M:$M,Investment!$H:$H,LEFT($P737,30)&amp;"*"),),)</f>
        <v/>
      </c>
      <c r="O737" s="177" t="str">
        <f>IF($P737&lt;&gt;"",IF(MAXIFS(Investment!$AI:$AI,Investment!$H:$H,LEFT($P737,30)&amp;"*"),MAXIFS(Investment!$AI:$AI,Investment!$H:$H,LEFT($P737,30)&amp;"*"),),)</f>
        <v/>
      </c>
      <c r="P737" s="310"/>
      <c r="R737" s="52"/>
    </row>
    <row r="738">
      <c r="A738" s="165">
        <v>41744.0</v>
      </c>
      <c r="B738" s="154"/>
      <c r="C738" s="329"/>
      <c r="D738" s="55" t="s">
        <v>299</v>
      </c>
      <c r="E738" s="154"/>
      <c r="F738" s="169"/>
      <c r="G738" s="170">
        <v>7979.59</v>
      </c>
      <c r="H738" s="321" t="str">
        <f t="shared" si="697"/>
        <v>@APPROVISIONNEMENT@@7979.59</v>
      </c>
      <c r="I738" s="171" t="str">
        <f t="shared" ref="I738:J738" si="745">IFS(AND($B738&lt;&gt;"",$E738&lt;&gt;""),IF(INDEX(N:N,MATCH($C738,$P:$P,0),1)&lt;&gt;"",$E738*INDEX(N:N,MATCH($C738,$P:$P,0),1)+$G738,""),AND($B738&lt;&gt;"",$D738="COST",$G738&lt;0),$G738,TRUE,)</f>
        <v/>
      </c>
      <c r="J738" s="171" t="str">
        <f t="shared" si="745"/>
        <v/>
      </c>
      <c r="K738" s="309" t="str">
        <f t="shared" si="3"/>
        <v/>
      </c>
      <c r="L738" s="143" t="str">
        <f t="shared" si="4"/>
        <v/>
      </c>
      <c r="M738" s="143" t="str">
        <f t="shared" si="5"/>
        <v/>
      </c>
      <c r="N738" s="176" t="str">
        <f>IF($P738&lt;&gt;"",IF(MAXIFS(Investment!$M:$M,Investment!$H:$H,LEFT($P738,30)&amp;"*"),MAXIFS(Investment!$M:$M,Investment!$H:$H,LEFT($P738,30)&amp;"*"),),)</f>
        <v/>
      </c>
      <c r="O738" s="177" t="str">
        <f>IF($P738&lt;&gt;"",IF(MAXIFS(Investment!$AI:$AI,Investment!$H:$H,LEFT($P738,30)&amp;"*"),MAXIFS(Investment!$AI:$AI,Investment!$H:$H,LEFT($P738,30)&amp;"*"),),)</f>
        <v/>
      </c>
      <c r="P738" s="310"/>
      <c r="R738" s="52"/>
    </row>
    <row r="739">
      <c r="A739" s="165">
        <v>41743.0</v>
      </c>
      <c r="B739" s="154"/>
      <c r="C739" s="329" t="s">
        <v>1089</v>
      </c>
      <c r="D739" s="55" t="s">
        <v>332</v>
      </c>
      <c r="E739" s="29">
        <v>100.0</v>
      </c>
      <c r="F739" s="169">
        <v>411.5</v>
      </c>
      <c r="G739" s="170">
        <v>-41162.0</v>
      </c>
      <c r="H739" s="321" t="str">
        <f t="shared" si="697"/>
        <v>TOTAL GABON@BUY@100@-41162</v>
      </c>
      <c r="I739" s="171" t="str">
        <f t="shared" ref="I739:J739" si="746">IFS(AND($B739&lt;&gt;"",$E739&lt;&gt;""),IF(INDEX(N:N,MATCH($C739,$P:$P,0),1)&lt;&gt;"",$E739*INDEX(N:N,MATCH($C739,$P:$P,0),1)+$G739,""),AND($B739&lt;&gt;"",$D739="COST",$G739&lt;0),$G739,TRUE,)</f>
        <v/>
      </c>
      <c r="J739" s="171" t="str">
        <f t="shared" si="746"/>
        <v/>
      </c>
      <c r="K739" s="309" t="str">
        <f t="shared" si="3"/>
        <v>TOTAL GABON</v>
      </c>
      <c r="L739" s="143">
        <f t="shared" si="4"/>
        <v>0</v>
      </c>
      <c r="M739" s="143">
        <f t="shared" si="5"/>
        <v>-24138.28</v>
      </c>
      <c r="N739" s="176" t="str">
        <f>IF($P739&lt;&gt;"",IF(MAXIFS(Investment!$M:$M,Investment!$H:$H,LEFT($P739,30)&amp;"*"),MAXIFS(Investment!$M:$M,Investment!$H:$H,LEFT($P739,30)&amp;"*"),),)</f>
        <v/>
      </c>
      <c r="O739" s="177" t="str">
        <f>IF($P739&lt;&gt;"",IF(MAXIFS(Investment!$AI:$AI,Investment!$H:$H,LEFT($P739,30)&amp;"*"),MAXIFS(Investment!$AI:$AI,Investment!$H:$H,LEFT($P739,30)&amp;"*"),),)</f>
        <v/>
      </c>
      <c r="P739" s="310"/>
      <c r="R739" s="52"/>
    </row>
    <row r="740">
      <c r="A740" s="165">
        <v>41722.0</v>
      </c>
      <c r="C740" s="48" t="s">
        <v>1092</v>
      </c>
      <c r="D740" s="55" t="s">
        <v>280</v>
      </c>
      <c r="E740" s="55">
        <v>-580.0</v>
      </c>
      <c r="F740" s="169">
        <v>73.2</v>
      </c>
      <c r="G740" s="170">
        <v>42444.0</v>
      </c>
      <c r="H740" s="321" t="str">
        <f t="shared" si="697"/>
        <v>TECHNIP@SELL@-580@42444</v>
      </c>
      <c r="I740" s="171" t="str">
        <f t="shared" ref="I740:J740" si="747">IFS(AND($B740&lt;&gt;"",$E740&lt;&gt;""),IF(INDEX(N:N,MATCH($C740,$P:$P,0),1)&lt;&gt;"",$E740*INDEX(N:N,MATCH($C740,$P:$P,0),1)+$G740,""),AND($B740&lt;&gt;"",$D740="COST",$G740&lt;0),$G740,TRUE,)</f>
        <v/>
      </c>
      <c r="J740" s="171" t="str">
        <f t="shared" si="747"/>
        <v/>
      </c>
      <c r="K740" s="309" t="str">
        <f t="shared" si="3"/>
        <v>TECHNIP</v>
      </c>
      <c r="L740" s="143">
        <f t="shared" si="4"/>
        <v>0</v>
      </c>
      <c r="M740" s="143">
        <f t="shared" si="5"/>
        <v>-690.07</v>
      </c>
      <c r="N740" s="176" t="str">
        <f>IF($P740&lt;&gt;"",IF(MAXIFS(Investment!$M:$M,Investment!$H:$H,LEFT($P740,30)&amp;"*"),MAXIFS(Investment!$M:$M,Investment!$H:$H,LEFT($P740,30)&amp;"*"),),)</f>
        <v/>
      </c>
      <c r="O740" s="177" t="str">
        <f>IF($P740&lt;&gt;"",IF(MAXIFS(Investment!$AI:$AI,Investment!$H:$H,LEFT($P740,30)&amp;"*"),MAXIFS(Investment!$AI:$AI,Investment!$H:$H,LEFT($P740,30)&amp;"*"),),)</f>
        <v/>
      </c>
      <c r="P740" s="310"/>
      <c r="R740" s="52"/>
    </row>
    <row r="741">
      <c r="A741" s="165">
        <v>41599.0</v>
      </c>
      <c r="C741" s="48" t="s">
        <v>1092</v>
      </c>
      <c r="D741" s="55" t="s">
        <v>332</v>
      </c>
      <c r="E741" s="29">
        <v>580.0</v>
      </c>
      <c r="F741" s="169">
        <v>74.2</v>
      </c>
      <c r="G741" s="170">
        <v>-43048.0</v>
      </c>
      <c r="H741" s="321" t="str">
        <f t="shared" si="697"/>
        <v>TECHNIP@BUY@580@-43048</v>
      </c>
      <c r="I741" s="171" t="str">
        <f t="shared" ref="I741:J741" si="748">IFS(AND($B741&lt;&gt;"",$E741&lt;&gt;""),IF(INDEX(N:N,MATCH($C741,$P:$P,0),1)&lt;&gt;"",$E741*INDEX(N:N,MATCH($C741,$P:$P,0),1)+$G741,""),AND($B741&lt;&gt;"",$D741="COST",$G741&lt;0),$G741,TRUE,)</f>
        <v/>
      </c>
      <c r="J741" s="171" t="str">
        <f t="shared" si="748"/>
        <v/>
      </c>
      <c r="K741" s="309" t="str">
        <f t="shared" si="3"/>
        <v>TECHNIP</v>
      </c>
      <c r="L741" s="143">
        <f t="shared" si="4"/>
        <v>0</v>
      </c>
      <c r="M741" s="143">
        <f t="shared" si="5"/>
        <v>-690.07</v>
      </c>
      <c r="N741" s="176" t="str">
        <f>IF($P741&lt;&gt;"",IF(MAXIFS(Investment!$M:$M,Investment!$H:$H,LEFT($P741,30)&amp;"*"),MAXIFS(Investment!$M:$M,Investment!$H:$H,LEFT($P741,30)&amp;"*"),),)</f>
        <v/>
      </c>
      <c r="O741" s="177" t="str">
        <f>IF($P741&lt;&gt;"",IF(MAXIFS(Investment!$AI:$AI,Investment!$H:$H,LEFT($P741,30)&amp;"*"),MAXIFS(Investment!$AI:$AI,Investment!$H:$H,LEFT($P741,30)&amp;"*"),),)</f>
        <v/>
      </c>
      <c r="P741" s="310"/>
      <c r="R741" s="52"/>
    </row>
    <row r="742">
      <c r="A742" s="165">
        <v>41599.0</v>
      </c>
      <c r="B742" s="55"/>
      <c r="C742" s="308" t="s">
        <v>1092</v>
      </c>
      <c r="D742" s="330" t="s">
        <v>301</v>
      </c>
      <c r="E742" s="29"/>
      <c r="F742" s="169"/>
      <c r="G742" s="170">
        <v>-86.07</v>
      </c>
      <c r="H742" s="321" t="str">
        <f t="shared" si="697"/>
        <v>TECHNIP@COST@@-86.07</v>
      </c>
      <c r="I742" s="171" t="str">
        <f t="shared" ref="I742:J742" si="749">IFS(AND($B742&lt;&gt;"",$E742&lt;&gt;""),IF(INDEX(N:N,MATCH($C742,$P:$P,0),1)&lt;&gt;"",$E742*INDEX(N:N,MATCH($C742,$P:$P,0),1)+$G742,""),AND($B742&lt;&gt;"",$D742="COST",$G742&lt;0),$G742,TRUE,)</f>
        <v/>
      </c>
      <c r="J742" s="171" t="str">
        <f t="shared" si="749"/>
        <v/>
      </c>
      <c r="K742" s="309" t="str">
        <f t="shared" si="3"/>
        <v>TECHNIP</v>
      </c>
      <c r="L742" s="143">
        <f t="shared" si="4"/>
        <v>0</v>
      </c>
      <c r="M742" s="143">
        <f t="shared" si="5"/>
        <v>-690.07</v>
      </c>
      <c r="N742" s="176" t="str">
        <f>IF($P742&lt;&gt;"",IF(MAXIFS(Investment!$M:$M,Investment!$H:$H,LEFT($P742,30)&amp;"*"),MAXIFS(Investment!$M:$M,Investment!$H:$H,LEFT($P742,30)&amp;"*"),),)</f>
        <v/>
      </c>
      <c r="O742" s="177" t="str">
        <f>IF($P742&lt;&gt;"",IF(MAXIFS(Investment!$AI:$AI,Investment!$H:$H,LEFT($P742,30)&amp;"*"),MAXIFS(Investment!$AI:$AI,Investment!$H:$H,LEFT($P742,30)&amp;"*"),),)</f>
        <v/>
      </c>
      <c r="P742" s="310"/>
      <c r="R742" s="52"/>
    </row>
    <row r="743">
      <c r="A743" s="165">
        <v>41599.0</v>
      </c>
      <c r="C743" s="48" t="s">
        <v>1093</v>
      </c>
      <c r="D743" s="55" t="s">
        <v>280</v>
      </c>
      <c r="E743" s="29">
        <v>-7300.0</v>
      </c>
      <c r="F743" s="169">
        <v>5.873</v>
      </c>
      <c r="G743" s="170">
        <v>42860.9</v>
      </c>
      <c r="H743" s="321" t="str">
        <f t="shared" si="697"/>
        <v>STMICROELECTRONICS@SELL@-7300@42860.9</v>
      </c>
      <c r="I743" s="171" t="str">
        <f t="shared" ref="I743:J743" si="750">IFS(AND($B743&lt;&gt;"",$E743&lt;&gt;""),IF(INDEX(N:N,MATCH($C743,$P:$P,0),1)&lt;&gt;"",$E743*INDEX(N:N,MATCH($C743,$P:$P,0),1)+$G743,""),AND($B743&lt;&gt;"",$D743="COST",$G743&lt;0),$G743,TRUE,)</f>
        <v/>
      </c>
      <c r="J743" s="171" t="str">
        <f t="shared" si="750"/>
        <v/>
      </c>
      <c r="K743" s="309" t="str">
        <f t="shared" si="3"/>
        <v>STMICROELECTRONICS</v>
      </c>
      <c r="L743" s="143">
        <f t="shared" si="4"/>
        <v>0</v>
      </c>
      <c r="M743" s="143">
        <f t="shared" si="5"/>
        <v>1209.7</v>
      </c>
      <c r="N743" s="176" t="str">
        <f>IF($P743&lt;&gt;"",IF(MAXIFS(Investment!$M:$M,Investment!$H:$H,LEFT($P743,30)&amp;"*"),MAXIFS(Investment!$M:$M,Investment!$H:$H,LEFT($P743,30)&amp;"*"),),)</f>
        <v/>
      </c>
      <c r="O743" s="177" t="str">
        <f>IF($P743&lt;&gt;"",IF(MAXIFS(Investment!$AI:$AI,Investment!$H:$H,LEFT($P743,30)&amp;"*"),MAXIFS(Investment!$AI:$AI,Investment!$H:$H,LEFT($P743,30)&amp;"*"),),)</f>
        <v/>
      </c>
      <c r="P743" s="310"/>
      <c r="R743" s="52"/>
    </row>
    <row r="744">
      <c r="A744" s="165">
        <v>41571.0</v>
      </c>
      <c r="C744" s="48" t="s">
        <v>1093</v>
      </c>
      <c r="D744" s="55" t="s">
        <v>332</v>
      </c>
      <c r="E744" s="29">
        <v>7300.0</v>
      </c>
      <c r="F744" s="169">
        <v>5.704</v>
      </c>
      <c r="G744" s="170">
        <v>-41651.2</v>
      </c>
      <c r="H744" s="321" t="str">
        <f t="shared" si="697"/>
        <v>STMICROELECTRONICS@BUY@7300@-41651.2</v>
      </c>
      <c r="I744" s="171" t="str">
        <f t="shared" ref="I744:J744" si="751">IFS(AND($B744&lt;&gt;"",$E744&lt;&gt;""),IF(INDEX(N:N,MATCH($C744,$P:$P,0),1)&lt;&gt;"",$E744*INDEX(N:N,MATCH($C744,$P:$P,0),1)+$G744,""),AND($B744&lt;&gt;"",$D744="COST",$G744&lt;0),$G744,TRUE,)</f>
        <v/>
      </c>
      <c r="J744" s="171" t="str">
        <f t="shared" si="751"/>
        <v/>
      </c>
      <c r="K744" s="309" t="str">
        <f t="shared" si="3"/>
        <v>STMICROELECTRONICS</v>
      </c>
      <c r="L744" s="143">
        <f t="shared" si="4"/>
        <v>0</v>
      </c>
      <c r="M744" s="143">
        <f t="shared" si="5"/>
        <v>1209.7</v>
      </c>
      <c r="N744" s="176" t="str">
        <f>IF($P744&lt;&gt;"",IF(MAXIFS(Investment!$M:$M,Investment!$H:$H,LEFT($P744,30)&amp;"*"),MAXIFS(Investment!$M:$M,Investment!$H:$H,LEFT($P744,30)&amp;"*"),),)</f>
        <v/>
      </c>
      <c r="O744" s="177" t="str">
        <f>IF($P744&lt;&gt;"",IF(MAXIFS(Investment!$AI:$AI,Investment!$H:$H,LEFT($P744,30)&amp;"*"),MAXIFS(Investment!$AI:$AI,Investment!$H:$H,LEFT($P744,30)&amp;"*"),),)</f>
        <v/>
      </c>
      <c r="P744" s="310"/>
      <c r="R744" s="52"/>
    </row>
    <row r="745">
      <c r="A745" s="165">
        <v>41569.0</v>
      </c>
      <c r="C745" s="48" t="s">
        <v>1094</v>
      </c>
      <c r="D745" s="55" t="s">
        <v>280</v>
      </c>
      <c r="E745" s="29">
        <v>-1500.0</v>
      </c>
      <c r="F745" s="169">
        <v>27.59</v>
      </c>
      <c r="G745" s="170">
        <v>41373.0</v>
      </c>
      <c r="H745" s="321" t="str">
        <f t="shared" si="697"/>
        <v>ALSTOM REGROUPT@SELL@-1500@41373</v>
      </c>
      <c r="I745" s="171" t="str">
        <f t="shared" ref="I745:J745" si="752">IFS(AND($B745&lt;&gt;"",$E745&lt;&gt;""),IF(INDEX(N:N,MATCH($C745,$P:$P,0),1)&lt;&gt;"",$E745*INDEX(N:N,MATCH($C745,$P:$P,0),1)+$G745,""),AND($B745&lt;&gt;"",$D745="COST",$G745&lt;0),$G745,TRUE,)</f>
        <v/>
      </c>
      <c r="J745" s="171" t="str">
        <f t="shared" si="752"/>
        <v/>
      </c>
      <c r="K745" s="309" t="str">
        <f t="shared" si="3"/>
        <v>ALSTOM REGROUPT</v>
      </c>
      <c r="L745" s="143">
        <f t="shared" si="4"/>
        <v>0</v>
      </c>
      <c r="M745" s="143">
        <f t="shared" si="5"/>
        <v>3485.4</v>
      </c>
      <c r="N745" s="176" t="str">
        <f>IF($P745&lt;&gt;"",IF(MAXIFS(Investment!$M:$M,Investment!$H:$H,LEFT($P745,30)&amp;"*"),MAXIFS(Investment!$M:$M,Investment!$H:$H,LEFT($P745,30)&amp;"*"),),)</f>
        <v/>
      </c>
      <c r="O745" s="177" t="str">
        <f>IF($P745&lt;&gt;"",IF(MAXIFS(Investment!$AI:$AI,Investment!$H:$H,LEFT($P745,30)&amp;"*"),MAXIFS(Investment!$AI:$AI,Investment!$H:$H,LEFT($P745,30)&amp;"*"),),)</f>
        <v/>
      </c>
      <c r="P745" s="310"/>
      <c r="R745" s="52"/>
    </row>
    <row r="746">
      <c r="A746" s="165">
        <v>41564.0</v>
      </c>
      <c r="C746" s="48" t="s">
        <v>1095</v>
      </c>
      <c r="D746" s="55" t="s">
        <v>280</v>
      </c>
      <c r="E746" s="29">
        <v>-32.0</v>
      </c>
      <c r="F746" s="169">
        <v>21.6</v>
      </c>
      <c r="G746" s="170">
        <v>690.21</v>
      </c>
      <c r="H746" s="321" t="str">
        <f t="shared" si="697"/>
        <v>ANF IMMOBILIER@SELL@-32@690.21</v>
      </c>
      <c r="I746" s="171" t="str">
        <f t="shared" ref="I746:J746" si="753">IFS(AND($B746&lt;&gt;"",$E746&lt;&gt;""),IF(INDEX(N:N,MATCH($C746,$P:$P,0),1)&lt;&gt;"",$E746*INDEX(N:N,MATCH($C746,$P:$P,0),1)+$G746,""),AND($B746&lt;&gt;"",$D746="COST",$G746&lt;0),$G746,TRUE,)</f>
        <v/>
      </c>
      <c r="J746" s="171" t="str">
        <f t="shared" si="753"/>
        <v/>
      </c>
      <c r="K746" s="309" t="str">
        <f t="shared" si="3"/>
        <v>ANF IMMOBILIER</v>
      </c>
      <c r="L746" s="143">
        <f t="shared" si="4"/>
        <v>0</v>
      </c>
      <c r="M746" s="143">
        <f t="shared" si="5"/>
        <v>-5.5</v>
      </c>
      <c r="N746" s="176" t="str">
        <f>IF($P746&lt;&gt;"",IF(MAXIFS(Investment!$M:$M,Investment!$H:$H,LEFT($P746,30)&amp;"*"),MAXIFS(Investment!$M:$M,Investment!$H:$H,LEFT($P746,30)&amp;"*"),),)</f>
        <v/>
      </c>
      <c r="O746" s="177" t="str">
        <f>IF($P746&lt;&gt;"",IF(MAXIFS(Investment!$AI:$AI,Investment!$H:$H,LEFT($P746,30)&amp;"*"),MAXIFS(Investment!$AI:$AI,Investment!$H:$H,LEFT($P746,30)&amp;"*"),),)</f>
        <v/>
      </c>
      <c r="P746" s="310"/>
      <c r="R746" s="52"/>
    </row>
    <row r="747">
      <c r="A747" s="165">
        <v>41564.0</v>
      </c>
      <c r="C747" s="48" t="s">
        <v>1096</v>
      </c>
      <c r="D747" s="55" t="s">
        <v>280</v>
      </c>
      <c r="E747" s="29">
        <v>-16.0</v>
      </c>
      <c r="F747" s="169">
        <v>72.89</v>
      </c>
      <c r="G747" s="170">
        <v>1165.19</v>
      </c>
      <c r="H747" s="321" t="str">
        <f t="shared" si="697"/>
        <v>SANOFI@SELL@-16@1165.19</v>
      </c>
      <c r="I747" s="171" t="str">
        <f t="shared" ref="I747:J747" si="754">IFS(AND($B747&lt;&gt;"",$E747&lt;&gt;""),IF(INDEX(N:N,MATCH($C747,$P:$P,0),1)&lt;&gt;"",$E747*INDEX(N:N,MATCH($C747,$P:$P,0),1)+$G747,""),AND($B747&lt;&gt;"",$D747="COST",$G747&lt;0),$G747,TRUE,)</f>
        <v/>
      </c>
      <c r="J747" s="171" t="str">
        <f t="shared" si="754"/>
        <v/>
      </c>
      <c r="K747" s="309" t="str">
        <f t="shared" si="3"/>
        <v>SANOFI</v>
      </c>
      <c r="L747" s="143">
        <f t="shared" si="4"/>
        <v>0</v>
      </c>
      <c r="M747" s="143">
        <f t="shared" si="5"/>
        <v>-32.19</v>
      </c>
      <c r="N747" s="176" t="str">
        <f>IF($P747&lt;&gt;"",IF(MAXIFS(Investment!$M:$M,Investment!$H:$H,LEFT($P747,30)&amp;"*"),MAXIFS(Investment!$M:$M,Investment!$H:$H,LEFT($P747,30)&amp;"*"),),)</f>
        <v/>
      </c>
      <c r="O747" s="177" t="str">
        <f>IF($P747&lt;&gt;"",IF(MAXIFS(Investment!$AI:$AI,Investment!$H:$H,LEFT($P747,30)&amp;"*"),MAXIFS(Investment!$AI:$AI,Investment!$H:$H,LEFT($P747,30)&amp;"*"),),)</f>
        <v/>
      </c>
      <c r="P747" s="310"/>
      <c r="R747" s="52"/>
    </row>
    <row r="748">
      <c r="A748" s="165">
        <v>41564.0</v>
      </c>
      <c r="C748" s="48" t="s">
        <v>1094</v>
      </c>
      <c r="D748" s="55" t="s">
        <v>332</v>
      </c>
      <c r="E748" s="29">
        <v>1500.0</v>
      </c>
      <c r="F748" s="169">
        <v>25.2</v>
      </c>
      <c r="G748" s="170">
        <v>-37812.0</v>
      </c>
      <c r="H748" s="321" t="str">
        <f t="shared" si="697"/>
        <v>ALSTOM REGROUPT@BUY@1500@-37812</v>
      </c>
      <c r="I748" s="171" t="str">
        <f t="shared" ref="I748:J748" si="755">IFS(AND($B748&lt;&gt;"",$E748&lt;&gt;""),IF(INDEX(N:N,MATCH($C748,$P:$P,0),1)&lt;&gt;"",$E748*INDEX(N:N,MATCH($C748,$P:$P,0),1)+$G748,""),AND($B748&lt;&gt;"",$D748="COST",$G748&lt;0),$G748,TRUE,)</f>
        <v/>
      </c>
      <c r="J748" s="171" t="str">
        <f t="shared" si="755"/>
        <v/>
      </c>
      <c r="K748" s="309" t="str">
        <f t="shared" si="3"/>
        <v>ALSTOM REGROUPT</v>
      </c>
      <c r="L748" s="143">
        <f t="shared" si="4"/>
        <v>0</v>
      </c>
      <c r="M748" s="143">
        <f t="shared" si="5"/>
        <v>3485.4</v>
      </c>
      <c r="N748" s="176" t="str">
        <f>IF($P748&lt;&gt;"",IF(MAXIFS(Investment!$M:$M,Investment!$H:$H,LEFT($P748,30)&amp;"*"),MAXIFS(Investment!$M:$M,Investment!$H:$H,LEFT($P748,30)&amp;"*"),),)</f>
        <v/>
      </c>
      <c r="O748" s="177" t="str">
        <f>IF($P748&lt;&gt;"",IF(MAXIFS(Investment!$AI:$AI,Investment!$H:$H,LEFT($P748,30)&amp;"*"),MAXIFS(Investment!$AI:$AI,Investment!$H:$H,LEFT($P748,30)&amp;"*"),),)</f>
        <v/>
      </c>
      <c r="P748" s="310"/>
      <c r="R748" s="52"/>
    </row>
    <row r="749">
      <c r="A749" s="165">
        <v>41564.0</v>
      </c>
      <c r="B749" s="55"/>
      <c r="C749" s="308" t="s">
        <v>1094</v>
      </c>
      <c r="D749" s="330" t="s">
        <v>301</v>
      </c>
      <c r="E749" s="29"/>
      <c r="F749" s="169"/>
      <c r="G749" s="170">
        <v>-75.6</v>
      </c>
      <c r="H749" s="321" t="str">
        <f t="shared" si="697"/>
        <v>ALSTOM REGROUPT@COST@@-75.6</v>
      </c>
      <c r="I749" s="171" t="str">
        <f t="shared" ref="I749:J749" si="756">IFS(AND($B749&lt;&gt;"",$E749&lt;&gt;""),IF(INDEX(N:N,MATCH($C749,$P:$P,0),1)&lt;&gt;"",$E749*INDEX(N:N,MATCH($C749,$P:$P,0),1)+$G749,""),AND($B749&lt;&gt;"",$D749="COST",$G749&lt;0),$G749,TRUE,)</f>
        <v/>
      </c>
      <c r="J749" s="171" t="str">
        <f t="shared" si="756"/>
        <v/>
      </c>
      <c r="K749" s="309" t="str">
        <f t="shared" si="3"/>
        <v>ALSTOM REGROUPT</v>
      </c>
      <c r="L749" s="143">
        <f t="shared" si="4"/>
        <v>0</v>
      </c>
      <c r="M749" s="143">
        <f t="shared" si="5"/>
        <v>3485.4</v>
      </c>
      <c r="N749" s="176" t="str">
        <f>IF($P749&lt;&gt;"",IF(MAXIFS(Investment!$M:$M,Investment!$H:$H,LEFT($P749,30)&amp;"*"),MAXIFS(Investment!$M:$M,Investment!$H:$H,LEFT($P749,30)&amp;"*"),),)</f>
        <v/>
      </c>
      <c r="O749" s="177" t="str">
        <f>IF($P749&lt;&gt;"",IF(MAXIFS(Investment!$AI:$AI,Investment!$H:$H,LEFT($P749,30)&amp;"*"),MAXIFS(Investment!$AI:$AI,Investment!$H:$H,LEFT($P749,30)&amp;"*"),),)</f>
        <v/>
      </c>
      <c r="P749" s="310"/>
      <c r="R749" s="52"/>
    </row>
    <row r="750">
      <c r="A750" s="165">
        <v>41557.0</v>
      </c>
      <c r="B750" s="229"/>
      <c r="C750" s="336" t="s">
        <v>1097</v>
      </c>
      <c r="D750" s="55" t="s">
        <v>280</v>
      </c>
      <c r="E750" s="29">
        <v>-12.0</v>
      </c>
      <c r="F750" s="169">
        <v>185.05</v>
      </c>
      <c r="G750" s="170">
        <v>2218.6</v>
      </c>
      <c r="H750" s="321" t="str">
        <f t="shared" si="697"/>
        <v>UNIBAIL RODAMCO SE@SELL@-12@2218.6</v>
      </c>
      <c r="I750" s="171" t="str">
        <f t="shared" ref="I750:J750" si="757">IFS(AND($B750&lt;&gt;"",$E750&lt;&gt;""),IF(INDEX(N:N,MATCH($C750,$P:$P,0),1)&lt;&gt;"",$E750*INDEX(N:N,MATCH($C750,$P:$P,0),1)+$G750,""),AND($B750&lt;&gt;"",$D750="COST",$G750&lt;0),$G750,TRUE,)</f>
        <v/>
      </c>
      <c r="J750" s="171" t="str">
        <f t="shared" si="757"/>
        <v/>
      </c>
      <c r="K750" s="309" t="str">
        <f t="shared" si="3"/>
        <v>UNIBAIL RODAMCO SE</v>
      </c>
      <c r="L750" s="143">
        <f t="shared" si="4"/>
        <v>0</v>
      </c>
      <c r="M750" s="143">
        <f t="shared" si="5"/>
        <v>107.7</v>
      </c>
      <c r="N750" s="176" t="str">
        <f>IF($P750&lt;&gt;"",IF(MAXIFS(Investment!$M:$M,Investment!$H:$H,LEFT($P750,30)&amp;"*"),MAXIFS(Investment!$M:$M,Investment!$H:$H,LEFT($P750,30)&amp;"*"),),)</f>
        <v/>
      </c>
      <c r="O750" s="177" t="str">
        <f>IF($P750&lt;&gt;"",IF(MAXIFS(Investment!$AI:$AI,Investment!$H:$H,LEFT($P750,30)&amp;"*"),MAXIFS(Investment!$AI:$AI,Investment!$H:$H,LEFT($P750,30)&amp;"*"),),)</f>
        <v/>
      </c>
      <c r="P750" s="310"/>
      <c r="R750" s="52"/>
    </row>
    <row r="751">
      <c r="A751" s="165">
        <v>41537.0</v>
      </c>
      <c r="B751" s="154"/>
      <c r="C751" s="329"/>
      <c r="D751" s="55" t="s">
        <v>299</v>
      </c>
      <c r="E751" s="154"/>
      <c r="F751" s="169"/>
      <c r="G751" s="170">
        <v>16133.41</v>
      </c>
      <c r="H751" s="321" t="str">
        <f t="shared" si="697"/>
        <v>@APPROVISIONNEMENT@@16133.41</v>
      </c>
      <c r="I751" s="171" t="str">
        <f t="shared" ref="I751:J751" si="758">IFS(AND($B751&lt;&gt;"",$E751&lt;&gt;""),IF(INDEX(N:N,MATCH($C751,$P:$P,0),1)&lt;&gt;"",$E751*INDEX(N:N,MATCH($C751,$P:$P,0),1)+$G751,""),AND($B751&lt;&gt;"",$D751="COST",$G751&lt;0),$G751,TRUE,)</f>
        <v/>
      </c>
      <c r="J751" s="171" t="str">
        <f t="shared" si="758"/>
        <v/>
      </c>
      <c r="K751" s="309" t="str">
        <f t="shared" si="3"/>
        <v/>
      </c>
      <c r="L751" s="143" t="str">
        <f t="shared" si="4"/>
        <v/>
      </c>
      <c r="M751" s="143" t="str">
        <f t="shared" si="5"/>
        <v/>
      </c>
      <c r="N751" s="176" t="str">
        <f>IF($P751&lt;&gt;"",IF(MAXIFS(Investment!$M:$M,Investment!$H:$H,LEFT($P751,30)&amp;"*"),MAXIFS(Investment!$M:$M,Investment!$H:$H,LEFT($P751,30)&amp;"*"),),)</f>
        <v/>
      </c>
      <c r="O751" s="177" t="str">
        <f>IF($P751&lt;&gt;"",IF(MAXIFS(Investment!$AI:$AI,Investment!$H:$H,LEFT($P751,30)&amp;"*"),MAXIFS(Investment!$AI:$AI,Investment!$H:$H,LEFT($P751,30)&amp;"*"),),)</f>
        <v/>
      </c>
      <c r="P751" s="48"/>
    </row>
    <row r="752">
      <c r="A752" s="165">
        <v>41537.0</v>
      </c>
      <c r="B752" s="154"/>
      <c r="C752" s="329"/>
      <c r="D752" s="55" t="s">
        <v>299</v>
      </c>
      <c r="E752" s="154"/>
      <c r="F752" s="169"/>
      <c r="G752" s="170">
        <v>16872.9</v>
      </c>
      <c r="H752" s="321" t="str">
        <f t="shared" si="697"/>
        <v>@APPROVISIONNEMENT@@16872.9</v>
      </c>
      <c r="I752" s="171" t="str">
        <f t="shared" ref="I752:J752" si="759">IFS(AND($B752&lt;&gt;"",$E752&lt;&gt;""),IF(INDEX(N:N,MATCH($C752,$P:$P,0),1)&lt;&gt;"",$E752*INDEX(N:N,MATCH($C752,$P:$P,0),1)+$G752,""),AND($B752&lt;&gt;"",$D752="COST",$G752&lt;0),$G752,TRUE,)</f>
        <v/>
      </c>
      <c r="J752" s="171" t="str">
        <f t="shared" si="759"/>
        <v/>
      </c>
      <c r="K752" s="309" t="str">
        <f t="shared" si="3"/>
        <v/>
      </c>
      <c r="L752" s="143" t="str">
        <f t="shared" si="4"/>
        <v/>
      </c>
      <c r="M752" s="143" t="str">
        <f t="shared" si="5"/>
        <v/>
      </c>
      <c r="N752" s="176" t="str">
        <f>IF($P752&lt;&gt;"",IF(MAXIFS(Investment!$M:$M,Investment!$H:$H,LEFT($P752,30)&amp;"*"),MAXIFS(Investment!$M:$M,Investment!$H:$H,LEFT($P752,30)&amp;"*"),),)</f>
        <v/>
      </c>
      <c r="O752" s="177" t="str">
        <f>IF($P752&lt;&gt;"",IF(MAXIFS(Investment!$AI:$AI,Investment!$H:$H,LEFT($P752,30)&amp;"*"),MAXIFS(Investment!$AI:$AI,Investment!$H:$H,LEFT($P752,30)&amp;"*"),),)</f>
        <v/>
      </c>
      <c r="P752" s="48"/>
    </row>
    <row r="753">
      <c r="A753" s="165">
        <v>41512.0</v>
      </c>
      <c r="C753" s="48" t="s">
        <v>1095</v>
      </c>
      <c r="D753" s="55" t="s">
        <v>332</v>
      </c>
      <c r="E753" s="29">
        <v>32.0</v>
      </c>
      <c r="F753" s="169">
        <v>21.71</v>
      </c>
      <c r="G753" s="170">
        <v>-695.71</v>
      </c>
      <c r="H753" s="321" t="str">
        <f t="shared" si="697"/>
        <v>ANF IMMOBILIER@BUY@32@-695.71</v>
      </c>
      <c r="I753" s="171" t="str">
        <f t="shared" ref="I753:J753" si="760">IFS(AND($B753&lt;&gt;"",$E753&lt;&gt;""),IF(INDEX(N:N,MATCH($C753,$P:$P,0),1)&lt;&gt;"",$E753*INDEX(N:N,MATCH($C753,$P:$P,0),1)+$G753,""),AND($B753&lt;&gt;"",$D753="COST",$G753&lt;0),$G753,TRUE,)</f>
        <v/>
      </c>
      <c r="J753" s="171" t="str">
        <f t="shared" si="760"/>
        <v/>
      </c>
      <c r="K753" s="309" t="str">
        <f t="shared" si="3"/>
        <v>ANF IMMOBILIER</v>
      </c>
      <c r="L753" s="143">
        <f t="shared" si="4"/>
        <v>0</v>
      </c>
      <c r="M753" s="143">
        <f t="shared" si="5"/>
        <v>-5.5</v>
      </c>
      <c r="N753" s="176" t="str">
        <f>IF($P753&lt;&gt;"",IF(MAXIFS(Investment!$M:$M,Investment!$H:$H,LEFT($P753,30)&amp;"*"),MAXIFS(Investment!$M:$M,Investment!$H:$H,LEFT($P753,30)&amp;"*"),),)</f>
        <v/>
      </c>
      <c r="O753" s="177" t="str">
        <f>IF($P753&lt;&gt;"",IF(MAXIFS(Investment!$AI:$AI,Investment!$H:$H,LEFT($P753,30)&amp;"*"),MAXIFS(Investment!$AI:$AI,Investment!$H:$H,LEFT($P753,30)&amp;"*"),),)</f>
        <v/>
      </c>
      <c r="P753" s="310"/>
      <c r="R753" s="52"/>
    </row>
    <row r="754">
      <c r="A754" s="165">
        <v>41509.0</v>
      </c>
      <c r="C754" s="48" t="s">
        <v>1096</v>
      </c>
      <c r="D754" s="55" t="s">
        <v>332</v>
      </c>
      <c r="E754" s="29">
        <v>16.0</v>
      </c>
      <c r="F754" s="169">
        <v>74.62</v>
      </c>
      <c r="G754" s="170">
        <v>-1194.99</v>
      </c>
      <c r="H754" s="321" t="str">
        <f t="shared" si="697"/>
        <v>SANOFI@BUY@16@-1194.99</v>
      </c>
      <c r="I754" s="171" t="str">
        <f t="shared" ref="I754:J754" si="761">IFS(AND($B754&lt;&gt;"",$E754&lt;&gt;""),IF(INDEX(N:N,MATCH($C754,$P:$P,0),1)&lt;&gt;"",$E754*INDEX(N:N,MATCH($C754,$P:$P,0),1)+$G754,""),AND($B754&lt;&gt;"",$D754="COST",$G754&lt;0),$G754,TRUE,)</f>
        <v/>
      </c>
      <c r="J754" s="171" t="str">
        <f t="shared" si="761"/>
        <v/>
      </c>
      <c r="K754" s="309" t="str">
        <f t="shared" si="3"/>
        <v>SANOFI</v>
      </c>
      <c r="L754" s="143">
        <f t="shared" si="4"/>
        <v>0</v>
      </c>
      <c r="M754" s="143">
        <f t="shared" si="5"/>
        <v>-32.19</v>
      </c>
      <c r="N754" s="176" t="str">
        <f>IF($P754&lt;&gt;"",IF(MAXIFS(Investment!$M:$M,Investment!$H:$H,LEFT($P754,30)&amp;"*"),MAXIFS(Investment!$M:$M,Investment!$H:$H,LEFT($P754,30)&amp;"*"),),)</f>
        <v/>
      </c>
      <c r="O754" s="177" t="str">
        <f>IF($P754&lt;&gt;"",IF(MAXIFS(Investment!$AI:$AI,Investment!$H:$H,LEFT($P754,30)&amp;"*"),MAXIFS(Investment!$AI:$AI,Investment!$H:$H,LEFT($P754,30)&amp;"*"),),)</f>
        <v/>
      </c>
      <c r="P754" s="310"/>
      <c r="R754" s="52"/>
    </row>
    <row r="755">
      <c r="A755" s="165">
        <v>41509.0</v>
      </c>
      <c r="B755" s="55"/>
      <c r="C755" s="308" t="s">
        <v>1096</v>
      </c>
      <c r="D755" s="330" t="s">
        <v>301</v>
      </c>
      <c r="E755" s="29"/>
      <c r="F755" s="169"/>
      <c r="G755" s="170">
        <v>-2.39</v>
      </c>
      <c r="H755" s="321" t="str">
        <f t="shared" si="697"/>
        <v>SANOFI@COST@@-2.39</v>
      </c>
      <c r="I755" s="171" t="str">
        <f t="shared" ref="I755:J755" si="762">IFS(AND($B755&lt;&gt;"",$E755&lt;&gt;""),IF(INDEX(N:N,MATCH($C755,$P:$P,0),1)&lt;&gt;"",$E755*INDEX(N:N,MATCH($C755,$P:$P,0),1)+$G755,""),AND($B755&lt;&gt;"",$D755="COST",$G755&lt;0),$G755,TRUE,)</f>
        <v/>
      </c>
      <c r="J755" s="171" t="str">
        <f t="shared" si="762"/>
        <v/>
      </c>
      <c r="K755" s="309" t="str">
        <f t="shared" si="3"/>
        <v>SANOFI</v>
      </c>
      <c r="L755" s="143">
        <f t="shared" si="4"/>
        <v>0</v>
      </c>
      <c r="M755" s="143">
        <f t="shared" si="5"/>
        <v>-32.19</v>
      </c>
      <c r="N755" s="176" t="str">
        <f>IF($P755&lt;&gt;"",IF(MAXIFS(Investment!$M:$M,Investment!$H:$H,LEFT($P755,30)&amp;"*"),MAXIFS(Investment!$M:$M,Investment!$H:$H,LEFT($P755,30)&amp;"*"),),)</f>
        <v/>
      </c>
      <c r="O755" s="177" t="str">
        <f>IF($P755&lt;&gt;"",IF(MAXIFS(Investment!$AI:$AI,Investment!$H:$H,LEFT($P755,30)&amp;"*"),MAXIFS(Investment!$AI:$AI,Investment!$H:$H,LEFT($P755,30)&amp;"*"),),)</f>
        <v/>
      </c>
      <c r="P755" s="310"/>
      <c r="R755" s="52"/>
    </row>
    <row r="756">
      <c r="A756" s="165">
        <v>41508.0</v>
      </c>
      <c r="C756" s="48" t="s">
        <v>1097</v>
      </c>
      <c r="D756" s="55" t="s">
        <v>332</v>
      </c>
      <c r="E756" s="29">
        <v>12.0</v>
      </c>
      <c r="F756" s="169">
        <v>175.4</v>
      </c>
      <c r="G756" s="170">
        <v>-2106.69</v>
      </c>
      <c r="H756" s="321" t="str">
        <f t="shared" si="697"/>
        <v>UNIBAIL RODAMCO SE@BUY@12@-2106.69</v>
      </c>
      <c r="I756" s="171" t="str">
        <f t="shared" ref="I756:J756" si="763">IFS(AND($B756&lt;&gt;"",$E756&lt;&gt;""),IF(INDEX(N:N,MATCH($C756,$P:$P,0),1)&lt;&gt;"",$E756*INDEX(N:N,MATCH($C756,$P:$P,0),1)+$G756,""),AND($B756&lt;&gt;"",$D756="COST",$G756&lt;0),$G756,TRUE,)</f>
        <v/>
      </c>
      <c r="J756" s="171" t="str">
        <f t="shared" si="763"/>
        <v/>
      </c>
      <c r="K756" s="309" t="str">
        <f t="shared" si="3"/>
        <v>UNIBAIL RODAMCO SE</v>
      </c>
      <c r="L756" s="143">
        <f t="shared" si="4"/>
        <v>0</v>
      </c>
      <c r="M756" s="143">
        <f t="shared" si="5"/>
        <v>107.7</v>
      </c>
      <c r="N756" s="176" t="str">
        <f>IF($P756&lt;&gt;"",IF(MAXIFS(Investment!$M:$M,Investment!$H:$H,LEFT($P756,30)&amp;"*"),MAXIFS(Investment!$M:$M,Investment!$H:$H,LEFT($P756,30)&amp;"*"),),)</f>
        <v/>
      </c>
      <c r="O756" s="177" t="str">
        <f>IF($P756&lt;&gt;"",IF(MAXIFS(Investment!$AI:$AI,Investment!$H:$H,LEFT($P756,30)&amp;"*"),MAXIFS(Investment!$AI:$AI,Investment!$H:$H,LEFT($P756,30)&amp;"*"),),)</f>
        <v/>
      </c>
      <c r="P756" s="310"/>
      <c r="R756" s="52"/>
    </row>
    <row r="757">
      <c r="A757" s="165">
        <v>41508.0</v>
      </c>
      <c r="B757" s="55"/>
      <c r="C757" s="308" t="s">
        <v>1097</v>
      </c>
      <c r="D757" s="330" t="s">
        <v>301</v>
      </c>
      <c r="E757" s="29"/>
      <c r="F757" s="169"/>
      <c r="G757" s="170">
        <v>-4.21</v>
      </c>
      <c r="H757" s="321" t="str">
        <f t="shared" si="697"/>
        <v>UNIBAIL RODAMCO SE@COST@@-4.21</v>
      </c>
      <c r="I757" s="171" t="str">
        <f t="shared" ref="I757:J757" si="764">IFS(AND($B757&lt;&gt;"",$E757&lt;&gt;""),IF(INDEX(N:N,MATCH($C757,$P:$P,0),1)&lt;&gt;"",$E757*INDEX(N:N,MATCH($C757,$P:$P,0),1)+$G757,""),AND($B757&lt;&gt;"",$D757="COST",$G757&lt;0),$G757,TRUE,)</f>
        <v/>
      </c>
      <c r="J757" s="171" t="str">
        <f t="shared" si="764"/>
        <v/>
      </c>
      <c r="K757" s="309" t="str">
        <f t="shared" si="3"/>
        <v>UNIBAIL RODAMCO SE</v>
      </c>
      <c r="L757" s="143">
        <f t="shared" si="4"/>
        <v>0</v>
      </c>
      <c r="M757" s="143">
        <f t="shared" si="5"/>
        <v>107.7</v>
      </c>
      <c r="N757" s="176" t="str">
        <f>IF($P757&lt;&gt;"",IF(MAXIFS(Investment!$M:$M,Investment!$H:$H,LEFT($P757,30)&amp;"*"),MAXIFS(Investment!$M:$M,Investment!$H:$H,LEFT($P757,30)&amp;"*"),),)</f>
        <v/>
      </c>
      <c r="O757" s="177" t="str">
        <f>IF($P757&lt;&gt;"",IF(MAXIFS(Investment!$AI:$AI,Investment!$H:$H,LEFT($P757,30)&amp;"*"),MAXIFS(Investment!$AI:$AI,Investment!$H:$H,LEFT($P757,30)&amp;"*"),),)</f>
        <v/>
      </c>
      <c r="P757" s="310"/>
      <c r="R757" s="52"/>
    </row>
    <row r="758">
      <c r="A758" s="165">
        <v>41508.0</v>
      </c>
      <c r="C758" s="48" t="s">
        <v>1098</v>
      </c>
      <c r="D758" s="55" t="s">
        <v>280</v>
      </c>
      <c r="E758" s="29">
        <v>-135.0</v>
      </c>
      <c r="F758" s="169">
        <v>7.8</v>
      </c>
      <c r="G758" s="170">
        <v>1052.01</v>
      </c>
      <c r="H758" s="321" t="str">
        <f t="shared" si="697"/>
        <v>ORANGE@SELL@-135@1052.01</v>
      </c>
      <c r="I758" s="171" t="str">
        <f t="shared" ref="I758:J758" si="765">IFS(AND($B758&lt;&gt;"",$E758&lt;&gt;""),IF(INDEX(N:N,MATCH($C758,$P:$P,0),1)&lt;&gt;"",$E758*INDEX(N:N,MATCH($C758,$P:$P,0),1)+$G758,""),AND($B758&lt;&gt;"",$D758="COST",$G758&lt;0),$G758,TRUE,)</f>
        <v/>
      </c>
      <c r="J758" s="171" t="str">
        <f t="shared" si="765"/>
        <v/>
      </c>
      <c r="K758" s="309" t="str">
        <f t="shared" si="3"/>
        <v>ORANGE</v>
      </c>
      <c r="L758" s="143">
        <f t="shared" si="4"/>
        <v>0</v>
      </c>
      <c r="M758" s="143">
        <f t="shared" si="5"/>
        <v>-68.12</v>
      </c>
      <c r="N758" s="176" t="str">
        <f>IF($P758&lt;&gt;"",IF(MAXIFS(Investment!$M:$M,Investment!$H:$H,LEFT($P758,30)&amp;"*"),MAXIFS(Investment!$M:$M,Investment!$H:$H,LEFT($P758,30)&amp;"*"),),)</f>
        <v/>
      </c>
      <c r="O758" s="177" t="str">
        <f>IF($P758&lt;&gt;"",IF(MAXIFS(Investment!$AI:$AI,Investment!$H:$H,LEFT($P758,30)&amp;"*"),MAXIFS(Investment!$AI:$AI,Investment!$H:$H,LEFT($P758,30)&amp;"*"),),)</f>
        <v/>
      </c>
      <c r="P758" s="310"/>
      <c r="R758" s="52"/>
    </row>
    <row r="759">
      <c r="A759" s="165">
        <v>41508.0</v>
      </c>
      <c r="C759" s="48" t="s">
        <v>1099</v>
      </c>
      <c r="D759" s="55" t="s">
        <v>280</v>
      </c>
      <c r="E759" s="29">
        <v>-95.0</v>
      </c>
      <c r="F759" s="169">
        <v>16.74</v>
      </c>
      <c r="G759" s="170">
        <v>1588.87</v>
      </c>
      <c r="H759" s="321" t="str">
        <f t="shared" si="697"/>
        <v>GDF SUEZ@SELL@-95@1588.87</v>
      </c>
      <c r="I759" s="171" t="str">
        <f t="shared" ref="I759:J759" si="766">IFS(AND($B759&lt;&gt;"",$E759&lt;&gt;""),IF(INDEX(N:N,MATCH($C759,$P:$P,0),1)&lt;&gt;"",$E759*INDEX(N:N,MATCH($C759,$P:$P,0),1)+$G759,""),AND($B759&lt;&gt;"",$D759="COST",$G759&lt;0),$G759,TRUE,)</f>
        <v/>
      </c>
      <c r="J759" s="171" t="str">
        <f t="shared" si="766"/>
        <v/>
      </c>
      <c r="K759" s="309" t="str">
        <f t="shared" si="3"/>
        <v>GDF SUEZ</v>
      </c>
      <c r="L759" s="143">
        <f t="shared" si="4"/>
        <v>0</v>
      </c>
      <c r="M759" s="143">
        <f t="shared" si="5"/>
        <v>123.37</v>
      </c>
      <c r="N759" s="176" t="str">
        <f>IF($P759&lt;&gt;"",IF(MAXIFS(Investment!$M:$M,Investment!$H:$H,LEFT($P759,30)&amp;"*"),MAXIFS(Investment!$M:$M,Investment!$H:$H,LEFT($P759,30)&amp;"*"),),)</f>
        <v/>
      </c>
      <c r="O759" s="177" t="str">
        <f>IF($P759&lt;&gt;"",IF(MAXIFS(Investment!$AI:$AI,Investment!$H:$H,LEFT($P759,30)&amp;"*"),MAXIFS(Investment!$AI:$AI,Investment!$H:$H,LEFT($P759,30)&amp;"*"),),)</f>
        <v/>
      </c>
      <c r="P759" s="310"/>
      <c r="R759" s="52"/>
    </row>
    <row r="760">
      <c r="A760" s="165">
        <v>41506.0</v>
      </c>
      <c r="C760" s="48" t="s">
        <v>1100</v>
      </c>
      <c r="D760" s="55" t="s">
        <v>280</v>
      </c>
      <c r="E760" s="29">
        <v>-355.0</v>
      </c>
      <c r="F760" s="169">
        <v>5.07</v>
      </c>
      <c r="G760" s="170">
        <v>1798.23</v>
      </c>
      <c r="H760" s="321" t="str">
        <f t="shared" si="697"/>
        <v>ABC ARBITRAGE@SELL@-355@1798.23</v>
      </c>
      <c r="I760" s="171" t="str">
        <f t="shared" ref="I760:J760" si="767">IFS(AND($B760&lt;&gt;"",$E760&lt;&gt;""),IF(INDEX(N:N,MATCH($C760,$P:$P,0),1)&lt;&gt;"",$E760*INDEX(N:N,MATCH($C760,$P:$P,0),1)+$G760,""),AND($B760&lt;&gt;"",$D760="COST",$G760&lt;0),$G760,TRUE,)</f>
        <v/>
      </c>
      <c r="J760" s="171" t="str">
        <f t="shared" si="767"/>
        <v/>
      </c>
      <c r="K760" s="309" t="str">
        <f t="shared" si="3"/>
        <v>ABC ARBITRAGE</v>
      </c>
      <c r="L760" s="143">
        <f t="shared" si="4"/>
        <v>0</v>
      </c>
      <c r="M760" s="143">
        <f t="shared" si="5"/>
        <v>217.06</v>
      </c>
      <c r="N760" s="176" t="str">
        <f>IF($P760&lt;&gt;"",IF(MAXIFS(Investment!$M:$M,Investment!$H:$H,LEFT($P760,30)&amp;"*"),MAXIFS(Investment!$M:$M,Investment!$H:$H,LEFT($P760,30)&amp;"*"),),)</f>
        <v/>
      </c>
      <c r="O760" s="177" t="str">
        <f>IF($P760&lt;&gt;"",IF(MAXIFS(Investment!$AI:$AI,Investment!$H:$H,LEFT($P760,30)&amp;"*"),MAXIFS(Investment!$AI:$AI,Investment!$H:$H,LEFT($P760,30)&amp;"*"),),)</f>
        <v/>
      </c>
      <c r="P760" s="310"/>
      <c r="R760" s="52"/>
    </row>
    <row r="761">
      <c r="A761" s="165">
        <v>41491.0</v>
      </c>
      <c r="C761" s="308" t="s">
        <v>1101</v>
      </c>
      <c r="D761" s="55" t="s">
        <v>280</v>
      </c>
      <c r="E761" s="29">
        <v>-30.0</v>
      </c>
      <c r="F761" s="169">
        <v>40.655</v>
      </c>
      <c r="G761" s="170">
        <v>1218.55</v>
      </c>
      <c r="H761" s="321" t="str">
        <f t="shared" si="697"/>
        <v>TOTAL SA@SELL@-30@1218.55</v>
      </c>
      <c r="I761" s="171" t="str">
        <f t="shared" ref="I761:J761" si="768">IFS(AND($B761&lt;&gt;"",$E761&lt;&gt;""),IF(INDEX(N:N,MATCH($C761,$P:$P,0),1)&lt;&gt;"",$E761*INDEX(N:N,MATCH($C761,$P:$P,0),1)+$G761,""),AND($B761&lt;&gt;"",$D761="COST",$G761&lt;0),$G761,TRUE,)</f>
        <v/>
      </c>
      <c r="J761" s="171" t="str">
        <f t="shared" si="768"/>
        <v/>
      </c>
      <c r="K761" s="309" t="str">
        <f t="shared" si="3"/>
        <v>TOTAL SA</v>
      </c>
      <c r="L761" s="143">
        <f t="shared" si="4"/>
        <v>0</v>
      </c>
      <c r="M761" s="143">
        <f t="shared" si="5"/>
        <v>137.91</v>
      </c>
      <c r="N761" s="176" t="str">
        <f>IF($P761&lt;&gt;"",IF(MAXIFS(Investment!$M:$M,Investment!$H:$H,LEFT($P761,30)&amp;"*"),MAXIFS(Investment!$M:$M,Investment!$H:$H,LEFT($P761,30)&amp;"*"),),)</f>
        <v/>
      </c>
      <c r="O761" s="177" t="str">
        <f>IF($P761&lt;&gt;"",IF(MAXIFS(Investment!$AI:$AI,Investment!$H:$H,LEFT($P761,30)&amp;"*"),MAXIFS(Investment!$AI:$AI,Investment!$H:$H,LEFT($P761,30)&amp;"*"),),)</f>
        <v/>
      </c>
      <c r="P761" s="310"/>
      <c r="R761" s="52"/>
    </row>
    <row r="762">
      <c r="A762" s="165">
        <v>41466.0</v>
      </c>
      <c r="C762" s="48" t="s">
        <v>1100</v>
      </c>
      <c r="D762" s="55" t="s">
        <v>332</v>
      </c>
      <c r="E762" s="29">
        <v>355.0</v>
      </c>
      <c r="F762" s="169">
        <v>4.45</v>
      </c>
      <c r="G762" s="170">
        <v>-1581.17</v>
      </c>
      <c r="H762" s="321" t="str">
        <f t="shared" si="697"/>
        <v>ABC ARBITRAGE@BUY@355@-1581.17</v>
      </c>
      <c r="I762" s="171" t="str">
        <f t="shared" ref="I762:J762" si="769">IFS(AND($B762&lt;&gt;"",$E762&lt;&gt;""),IF(INDEX(N:N,MATCH($C762,$P:$P,0),1)&lt;&gt;"",$E762*INDEX(N:N,MATCH($C762,$P:$P,0),1)+$G762,""),AND($B762&lt;&gt;"",$D762="COST",$G762&lt;0),$G762,TRUE,)</f>
        <v/>
      </c>
      <c r="J762" s="171" t="str">
        <f t="shared" si="769"/>
        <v/>
      </c>
      <c r="K762" s="309" t="str">
        <f t="shared" si="3"/>
        <v>ABC ARBITRAGE</v>
      </c>
      <c r="L762" s="143">
        <f t="shared" si="4"/>
        <v>0</v>
      </c>
      <c r="M762" s="143">
        <f t="shared" si="5"/>
        <v>217.06</v>
      </c>
      <c r="N762" s="176" t="str">
        <f>IF($P762&lt;&gt;"",IF(MAXIFS(Investment!$M:$M,Investment!$H:$H,LEFT($P762,30)&amp;"*"),MAXIFS(Investment!$M:$M,Investment!$H:$H,LEFT($P762,30)&amp;"*"),),)</f>
        <v/>
      </c>
      <c r="O762" s="177" t="str">
        <f>IF($P762&lt;&gt;"",IF(MAXIFS(Investment!$AI:$AI,Investment!$H:$H,LEFT($P762,30)&amp;"*"),MAXIFS(Investment!$AI:$AI,Investment!$H:$H,LEFT($P762,30)&amp;"*"),),)</f>
        <v/>
      </c>
      <c r="P762" s="310"/>
      <c r="R762" s="52"/>
    </row>
    <row r="763">
      <c r="A763" s="165">
        <v>41466.0</v>
      </c>
      <c r="C763" s="48" t="s">
        <v>1090</v>
      </c>
      <c r="D763" s="55" t="s">
        <v>280</v>
      </c>
      <c r="E763" s="29">
        <v>-75.0</v>
      </c>
      <c r="F763" s="169">
        <v>19.625</v>
      </c>
      <c r="G763" s="170">
        <v>1470.56</v>
      </c>
      <c r="H763" s="321" t="str">
        <f t="shared" si="697"/>
        <v>EDF@SELL@-75@1470.56</v>
      </c>
      <c r="I763" s="171" t="str">
        <f t="shared" ref="I763:J763" si="770">IFS(AND($B763&lt;&gt;"",$E763&lt;&gt;""),IF(INDEX(N:N,MATCH($C763,$P:$P,0),1)&lt;&gt;"",$E763*INDEX(N:N,MATCH($C763,$P:$P,0),1)+$G763,""),AND($B763&lt;&gt;"",$D763="COST",$G763&lt;0),$G763,TRUE,)</f>
        <v/>
      </c>
      <c r="J763" s="171" t="str">
        <f t="shared" si="770"/>
        <v/>
      </c>
      <c r="K763" s="309" t="str">
        <f t="shared" si="3"/>
        <v>EDF</v>
      </c>
      <c r="L763" s="143">
        <f t="shared" si="4"/>
        <v>0</v>
      </c>
      <c r="M763" s="143">
        <f t="shared" si="5"/>
        <v>1451.96</v>
      </c>
      <c r="N763" s="176" t="str">
        <f>IF($P763&lt;&gt;"",IF(MAXIFS(Investment!$M:$M,Investment!$H:$H,LEFT($P763,30)&amp;"*"),MAXIFS(Investment!$M:$M,Investment!$H:$H,LEFT($P763,30)&amp;"*"),),)</f>
        <v/>
      </c>
      <c r="O763" s="177" t="str">
        <f>IF($P763&lt;&gt;"",IF(MAXIFS(Investment!$AI:$AI,Investment!$H:$H,LEFT($P763,30)&amp;"*"),MAXIFS(Investment!$AI:$AI,Investment!$H:$H,LEFT($P763,30)&amp;"*"),),)</f>
        <v/>
      </c>
      <c r="P763" s="310"/>
      <c r="R763" s="52"/>
    </row>
    <row r="764">
      <c r="A764" s="165">
        <v>41464.0</v>
      </c>
      <c r="C764" s="48" t="s">
        <v>1090</v>
      </c>
      <c r="D764" s="55" t="s">
        <v>307</v>
      </c>
      <c r="E764" s="29"/>
      <c r="F764" s="169"/>
      <c r="G764" s="170">
        <v>27.67</v>
      </c>
      <c r="H764" s="321" t="str">
        <f t="shared" si="697"/>
        <v>EDF@DIVIDEND@@27.67</v>
      </c>
      <c r="I764" s="171" t="str">
        <f t="shared" ref="I764:J764" si="771">IFS(AND($B764&lt;&gt;"",$E764&lt;&gt;""),IF(INDEX(N:N,MATCH($C764,$P:$P,0),1)&lt;&gt;"",$E764*INDEX(N:N,MATCH($C764,$P:$P,0),1)+$G764,""),AND($B764&lt;&gt;"",$D764="COST",$G764&lt;0),$G764,TRUE,)</f>
        <v/>
      </c>
      <c r="J764" s="171" t="str">
        <f t="shared" si="771"/>
        <v/>
      </c>
      <c r="K764" s="309" t="str">
        <f t="shared" si="3"/>
        <v>EDF</v>
      </c>
      <c r="L764" s="143">
        <f t="shared" si="4"/>
        <v>0</v>
      </c>
      <c r="M764" s="143">
        <f t="shared" si="5"/>
        <v>1451.96</v>
      </c>
      <c r="N764" s="176" t="str">
        <f>IF($P764&lt;&gt;"",IF(MAXIFS(Investment!$M:$M,Investment!$H:$H,LEFT($P764,30)&amp;"*"),MAXIFS(Investment!$M:$M,Investment!$H:$H,LEFT($P764,30)&amp;"*"),),)</f>
        <v/>
      </c>
      <c r="O764" s="177" t="str">
        <f>IF($P764&lt;&gt;"",IF(MAXIFS(Investment!$AI:$AI,Investment!$H:$H,LEFT($P764,30)&amp;"*"),MAXIFS(Investment!$AI:$AI,Investment!$H:$H,LEFT($P764,30)&amp;"*"),),)</f>
        <v/>
      </c>
      <c r="P764" s="310"/>
      <c r="R764" s="52"/>
    </row>
    <row r="765">
      <c r="A765" s="165">
        <v>41464.0</v>
      </c>
      <c r="C765" s="48" t="s">
        <v>1090</v>
      </c>
      <c r="D765" s="55" t="s">
        <v>307</v>
      </c>
      <c r="E765" s="29"/>
      <c r="F765" s="169"/>
      <c r="G765" s="170">
        <v>4.8</v>
      </c>
      <c r="H765" s="321" t="str">
        <f t="shared" si="697"/>
        <v>EDF@DIVIDEND@@4.8</v>
      </c>
      <c r="I765" s="171" t="str">
        <f t="shared" ref="I765:J765" si="772">IFS(AND($B765&lt;&gt;"",$E765&lt;&gt;""),IF(INDEX(N:N,MATCH($C765,$P:$P,0),1)&lt;&gt;"",$E765*INDEX(N:N,MATCH($C765,$P:$P,0),1)+$G765,""),AND($B765&lt;&gt;"",$D765="COST",$G765&lt;0),$G765,TRUE,)</f>
        <v/>
      </c>
      <c r="J765" s="171" t="str">
        <f t="shared" si="772"/>
        <v/>
      </c>
      <c r="K765" s="309" t="str">
        <f t="shared" si="3"/>
        <v>EDF</v>
      </c>
      <c r="L765" s="143">
        <f t="shared" si="4"/>
        <v>0</v>
      </c>
      <c r="M765" s="143">
        <f t="shared" si="5"/>
        <v>1451.96</v>
      </c>
      <c r="N765" s="176" t="str">
        <f>IF($P765&lt;&gt;"",IF(MAXIFS(Investment!$M:$M,Investment!$H:$H,LEFT($P765,30)&amp;"*"),MAXIFS(Investment!$M:$M,Investment!$H:$H,LEFT($P765,30)&amp;"*"),),)</f>
        <v/>
      </c>
      <c r="O765" s="177" t="str">
        <f>IF($P765&lt;&gt;"",IF(MAXIFS(Investment!$AI:$AI,Investment!$H:$H,LEFT($P765,30)&amp;"*"),MAXIFS(Investment!$AI:$AI,Investment!$H:$H,LEFT($P765,30)&amp;"*"),),)</f>
        <v/>
      </c>
      <c r="P765" s="310"/>
      <c r="R765" s="52"/>
    </row>
    <row r="766">
      <c r="A766" s="165">
        <v>41452.0</v>
      </c>
      <c r="C766" s="308" t="s">
        <v>1101</v>
      </c>
      <c r="D766" s="55" t="s">
        <v>307</v>
      </c>
      <c r="E766" s="29"/>
      <c r="F766" s="169"/>
      <c r="G766" s="170">
        <v>11.29</v>
      </c>
      <c r="H766" s="321" t="str">
        <f t="shared" si="697"/>
        <v>TOTAL SA@DIVIDEND@@11.29</v>
      </c>
      <c r="I766" s="171" t="str">
        <f t="shared" ref="I766:J766" si="773">IFS(AND($B766&lt;&gt;"",$E766&lt;&gt;""),IF(INDEX(N:N,MATCH($C766,$P:$P,0),1)&lt;&gt;"",$E766*INDEX(N:N,MATCH($C766,$P:$P,0),1)+$G766,""),AND($B766&lt;&gt;"",$D766="COST",$G766&lt;0),$G766,TRUE,)</f>
        <v/>
      </c>
      <c r="J766" s="171" t="str">
        <f t="shared" si="773"/>
        <v/>
      </c>
      <c r="K766" s="309" t="str">
        <f t="shared" si="3"/>
        <v>TOTAL SA</v>
      </c>
      <c r="L766" s="143">
        <f t="shared" si="4"/>
        <v>0</v>
      </c>
      <c r="M766" s="143">
        <f t="shared" si="5"/>
        <v>137.91</v>
      </c>
      <c r="N766" s="176" t="str">
        <f>IF($P766&lt;&gt;"",IF(MAXIFS(Investment!$M:$M,Investment!$H:$H,LEFT($P766,30)&amp;"*"),MAXIFS(Investment!$M:$M,Investment!$H:$H,LEFT($P766,30)&amp;"*"),),)</f>
        <v/>
      </c>
      <c r="O766" s="177" t="str">
        <f>IF($P766&lt;&gt;"",IF(MAXIFS(Investment!$AI:$AI,Investment!$H:$H,LEFT($P766,30)&amp;"*"),MAXIFS(Investment!$AI:$AI,Investment!$H:$H,LEFT($P766,30)&amp;"*"),),)</f>
        <v/>
      </c>
      <c r="P766" s="310"/>
      <c r="R766" s="52"/>
    </row>
    <row r="767">
      <c r="A767" s="165">
        <v>41436.0</v>
      </c>
      <c r="B767" s="55"/>
      <c r="C767" s="308" t="s">
        <v>1098</v>
      </c>
      <c r="D767" s="55" t="s">
        <v>307</v>
      </c>
      <c r="E767" s="29"/>
      <c r="F767" s="169"/>
      <c r="G767" s="170">
        <v>17.19</v>
      </c>
      <c r="H767" s="321" t="str">
        <f t="shared" si="697"/>
        <v>ORANGE@DIVIDEND@@17.19</v>
      </c>
      <c r="I767" s="171" t="str">
        <f t="shared" ref="I767:J767" si="774">IFS(AND($B767&lt;&gt;"",$E767&lt;&gt;""),IF(INDEX(N:N,MATCH($C767,$P:$P,0),1)&lt;&gt;"",$E767*INDEX(N:N,MATCH($C767,$P:$P,0),1)+$G767,""),AND($B767&lt;&gt;"",$D767="COST",$G767&lt;0),$G767,TRUE,)</f>
        <v/>
      </c>
      <c r="J767" s="171" t="str">
        <f t="shared" si="774"/>
        <v/>
      </c>
      <c r="K767" s="309" t="str">
        <f t="shared" si="3"/>
        <v>ORANGE</v>
      </c>
      <c r="L767" s="143">
        <f t="shared" si="4"/>
        <v>0</v>
      </c>
      <c r="M767" s="143">
        <f t="shared" si="5"/>
        <v>-68.12</v>
      </c>
      <c r="N767" s="176" t="str">
        <f>IF($P767&lt;&gt;"",IF(MAXIFS(Investment!$M:$M,Investment!$H:$H,LEFT($P767,30)&amp;"*"),MAXIFS(Investment!$M:$M,Investment!$H:$H,LEFT($P767,30)&amp;"*"),),)</f>
        <v/>
      </c>
      <c r="O767" s="177" t="str">
        <f>IF($P767&lt;&gt;"",IF(MAXIFS(Investment!$AI:$AI,Investment!$H:$H,LEFT($P767,30)&amp;"*"),MAXIFS(Investment!$AI:$AI,Investment!$H:$H,LEFT($P767,30)&amp;"*"),),)</f>
        <v/>
      </c>
      <c r="P767" s="310"/>
      <c r="R767" s="52"/>
    </row>
    <row r="768">
      <c r="A768" s="165">
        <v>41394.0</v>
      </c>
      <c r="C768" s="48" t="s">
        <v>1099</v>
      </c>
      <c r="D768" s="55" t="s">
        <v>307</v>
      </c>
      <c r="E768" s="29"/>
      <c r="F768" s="169"/>
      <c r="G768" s="170">
        <v>40.46</v>
      </c>
      <c r="H768" s="321" t="str">
        <f t="shared" si="697"/>
        <v>GDF SUEZ@DIVIDEND@@40.46</v>
      </c>
      <c r="I768" s="171" t="str">
        <f t="shared" ref="I768:J768" si="775">IFS(AND($B768&lt;&gt;"",$E768&lt;&gt;""),IF(INDEX(N:N,MATCH($C768,$P:$P,0),1)&lt;&gt;"",$E768*INDEX(N:N,MATCH($C768,$P:$P,0),1)+$G768,""),AND($B768&lt;&gt;"",$D768="COST",$G768&lt;0),$G768,TRUE,)</f>
        <v/>
      </c>
      <c r="J768" s="171" t="str">
        <f t="shared" si="775"/>
        <v/>
      </c>
      <c r="K768" s="309" t="str">
        <f t="shared" si="3"/>
        <v>GDF SUEZ</v>
      </c>
      <c r="L768" s="143">
        <f t="shared" si="4"/>
        <v>0</v>
      </c>
      <c r="M768" s="143">
        <f t="shared" si="5"/>
        <v>123.37</v>
      </c>
      <c r="N768" s="176" t="str">
        <f>IF($P768&lt;&gt;"",IF(MAXIFS(Investment!$M:$M,Investment!$H:$H,LEFT($P768,30)&amp;"*"),MAXIFS(Investment!$M:$M,Investment!$H:$H,LEFT($P768,30)&amp;"*"),),)</f>
        <v/>
      </c>
      <c r="O768" s="177" t="str">
        <f>IF($P768&lt;&gt;"",IF(MAXIFS(Investment!$AI:$AI,Investment!$H:$H,LEFT($P768,30)&amp;"*"),MAXIFS(Investment!$AI:$AI,Investment!$H:$H,LEFT($P768,30)&amp;"*"),),)</f>
        <v/>
      </c>
      <c r="P768" s="310"/>
      <c r="R768" s="52"/>
    </row>
    <row r="769">
      <c r="A769" s="165">
        <v>41355.0</v>
      </c>
      <c r="C769" s="308" t="s">
        <v>1101</v>
      </c>
      <c r="D769" s="55" t="s">
        <v>332</v>
      </c>
      <c r="E769" s="29">
        <v>30.0</v>
      </c>
      <c r="F769" s="169">
        <v>38.33</v>
      </c>
      <c r="G769" s="170">
        <v>-1150.93</v>
      </c>
      <c r="H769" s="321" t="str">
        <f t="shared" si="697"/>
        <v>TOTAL SA@BUY@30@-1150.93</v>
      </c>
      <c r="I769" s="171" t="str">
        <f t="shared" ref="I769:J769" si="776">IFS(AND($B769&lt;&gt;"",$E769&lt;&gt;""),IF(INDEX(N:N,MATCH($C769,$P:$P,0),1)&lt;&gt;"",$E769*INDEX(N:N,MATCH($C769,$P:$P,0),1)+$G769,""),AND($B769&lt;&gt;"",$D769="COST",$G769&lt;0),$G769,TRUE,)</f>
        <v/>
      </c>
      <c r="J769" s="171" t="str">
        <f t="shared" si="776"/>
        <v/>
      </c>
      <c r="K769" s="309" t="str">
        <f t="shared" si="3"/>
        <v>TOTAL SA</v>
      </c>
      <c r="L769" s="143">
        <f t="shared" si="4"/>
        <v>0</v>
      </c>
      <c r="M769" s="143">
        <f t="shared" si="5"/>
        <v>137.91</v>
      </c>
      <c r="N769" s="176" t="str">
        <f>IF($P769&lt;&gt;"",IF(MAXIFS(Investment!$M:$M,Investment!$H:$H,LEFT($P769,30)&amp;"*"),MAXIFS(Investment!$M:$M,Investment!$H:$H,LEFT($P769,30)&amp;"*"),),)</f>
        <v/>
      </c>
      <c r="O769" s="177" t="str">
        <f>IF($P769&lt;&gt;"",IF(MAXIFS(Investment!$AI:$AI,Investment!$H:$H,LEFT($P769,30)&amp;"*"),MAXIFS(Investment!$AI:$AI,Investment!$H:$H,LEFT($P769,30)&amp;"*"),),)</f>
        <v/>
      </c>
      <c r="P769" s="310"/>
      <c r="R769" s="52"/>
    </row>
    <row r="770">
      <c r="A770" s="165">
        <v>41355.0</v>
      </c>
      <c r="B770" s="55"/>
      <c r="C770" s="308" t="s">
        <v>1098</v>
      </c>
      <c r="D770" s="55" t="s">
        <v>332</v>
      </c>
      <c r="E770" s="29">
        <v>135.0</v>
      </c>
      <c r="F770" s="169">
        <v>8.42</v>
      </c>
      <c r="G770" s="170">
        <v>-1137.32</v>
      </c>
      <c r="H770" s="321" t="str">
        <f t="shared" si="697"/>
        <v>ORANGE@BUY@135@-1137.32</v>
      </c>
      <c r="I770" s="171" t="str">
        <f t="shared" ref="I770:J770" si="777">IFS(AND($B770&lt;&gt;"",$E770&lt;&gt;""),IF(INDEX(N:N,MATCH($C770,$P:$P,0),1)&lt;&gt;"",$E770*INDEX(N:N,MATCH($C770,$P:$P,0),1)+$G770,""),AND($B770&lt;&gt;"",$D770="COST",$G770&lt;0),$G770,TRUE,)</f>
        <v/>
      </c>
      <c r="J770" s="171" t="str">
        <f t="shared" si="777"/>
        <v/>
      </c>
      <c r="K770" s="309" t="str">
        <f t="shared" si="3"/>
        <v>ORANGE</v>
      </c>
      <c r="L770" s="143">
        <f t="shared" si="4"/>
        <v>0</v>
      </c>
      <c r="M770" s="143">
        <f t="shared" si="5"/>
        <v>-68.12</v>
      </c>
      <c r="N770" s="176" t="str">
        <f>IF($P770&lt;&gt;"",IF(MAXIFS(Investment!$M:$M,Investment!$H:$H,LEFT($P770,30)&amp;"*"),MAXIFS(Investment!$M:$M,Investment!$H:$H,LEFT($P770,30)&amp;"*"),),)</f>
        <v/>
      </c>
      <c r="O770" s="177" t="str">
        <f>IF($P770&lt;&gt;"",IF(MAXIFS(Investment!$AI:$AI,Investment!$H:$H,LEFT($P770,30)&amp;"*"),MAXIFS(Investment!$AI:$AI,Investment!$H:$H,LEFT($P770,30)&amp;"*"),),)</f>
        <v/>
      </c>
      <c r="P770" s="310"/>
      <c r="R770" s="52"/>
    </row>
    <row r="771">
      <c r="A771" s="165">
        <v>41355.0</v>
      </c>
      <c r="C771" s="48" t="s">
        <v>1099</v>
      </c>
      <c r="D771" s="55" t="s">
        <v>332</v>
      </c>
      <c r="E771" s="29">
        <v>95.0</v>
      </c>
      <c r="F771" s="169">
        <v>15.4</v>
      </c>
      <c r="G771" s="170">
        <v>-1464.32</v>
      </c>
      <c r="H771" s="321" t="str">
        <f t="shared" si="697"/>
        <v>GDF SUEZ@BUY@95@-1464.32</v>
      </c>
      <c r="I771" s="171" t="str">
        <f t="shared" ref="I771:J771" si="778">IFS(AND($B771&lt;&gt;"",$E771&lt;&gt;""),IF(INDEX(N:N,MATCH($C771,$P:$P,0),1)&lt;&gt;"",$E771*INDEX(N:N,MATCH($C771,$P:$P,0),1)+$G771,""),AND($B771&lt;&gt;"",$D771="COST",$G771&lt;0),$G771,TRUE,)</f>
        <v/>
      </c>
      <c r="J771" s="171" t="str">
        <f t="shared" si="778"/>
        <v/>
      </c>
      <c r="K771" s="309" t="str">
        <f t="shared" si="3"/>
        <v>GDF SUEZ</v>
      </c>
      <c r="L771" s="143">
        <f t="shared" si="4"/>
        <v>0</v>
      </c>
      <c r="M771" s="143">
        <f t="shared" si="5"/>
        <v>123.37</v>
      </c>
      <c r="N771" s="176" t="str">
        <f>IF($P771&lt;&gt;"",IF(MAXIFS(Investment!$M:$M,Investment!$H:$H,LEFT($P771,30)&amp;"*"),MAXIFS(Investment!$M:$M,Investment!$H:$H,LEFT($P771,30)&amp;"*"),),)</f>
        <v/>
      </c>
      <c r="O771" s="177" t="str">
        <f>IF($P771&lt;&gt;"",IF(MAXIFS(Investment!$AI:$AI,Investment!$H:$H,LEFT($P771,30)&amp;"*"),MAXIFS(Investment!$AI:$AI,Investment!$H:$H,LEFT($P771,30)&amp;"*"),),)</f>
        <v/>
      </c>
      <c r="P771" s="310"/>
      <c r="R771" s="52"/>
    </row>
    <row r="772">
      <c r="A772" s="165">
        <v>41355.0</v>
      </c>
      <c r="C772" s="48" t="s">
        <v>1090</v>
      </c>
      <c r="D772" s="55" t="s">
        <v>332</v>
      </c>
      <c r="E772" s="29">
        <v>75.0</v>
      </c>
      <c r="F772" s="169">
        <v>15.15</v>
      </c>
      <c r="G772" s="170">
        <v>-1137.27</v>
      </c>
      <c r="H772" s="321" t="str">
        <f t="shared" si="697"/>
        <v>EDF@BUY@75@-1137.27</v>
      </c>
      <c r="I772" s="171" t="str">
        <f t="shared" ref="I772:J772" si="779">IFS(AND($B772&lt;&gt;"",$E772&lt;&gt;""),IF(INDEX(N:N,MATCH($C772,$P:$P,0),1)&lt;&gt;"",$E772*INDEX(N:N,MATCH($C772,$P:$P,0),1)+$G772,""),AND($B772&lt;&gt;"",$D772="COST",$G772&lt;0),$G772,TRUE,)</f>
        <v/>
      </c>
      <c r="J772" s="171" t="str">
        <f t="shared" si="779"/>
        <v/>
      </c>
      <c r="K772" s="309" t="str">
        <f t="shared" si="3"/>
        <v>EDF</v>
      </c>
      <c r="L772" s="143">
        <f t="shared" si="4"/>
        <v>0</v>
      </c>
      <c r="M772" s="143">
        <f t="shared" si="5"/>
        <v>1451.96</v>
      </c>
      <c r="N772" s="176" t="str">
        <f>IF($P772&lt;&gt;"",IF(MAXIFS(Investment!$M:$M,Investment!$H:$H,LEFT($P772,30)&amp;"*"),MAXIFS(Investment!$M:$M,Investment!$H:$H,LEFT($P772,30)&amp;"*"),),)</f>
        <v/>
      </c>
      <c r="O772" s="177" t="str">
        <f>IF($P772&lt;&gt;"",IF(MAXIFS(Investment!$AI:$AI,Investment!$H:$H,LEFT($P772,30)&amp;"*"),MAXIFS(Investment!$AI:$AI,Investment!$H:$H,LEFT($P772,30)&amp;"*"),),)</f>
        <v/>
      </c>
      <c r="P772" s="310"/>
      <c r="R772" s="52"/>
    </row>
    <row r="773">
      <c r="A773" s="165">
        <v>41355.0</v>
      </c>
      <c r="B773" s="55"/>
      <c r="C773" s="308" t="s">
        <v>1101</v>
      </c>
      <c r="D773" s="330" t="s">
        <v>301</v>
      </c>
      <c r="E773" s="29"/>
      <c r="F773" s="169"/>
      <c r="G773" s="170">
        <v>-2.3</v>
      </c>
      <c r="H773" s="321" t="str">
        <f t="shared" si="697"/>
        <v>TOTAL SA@COST@@-2.3</v>
      </c>
      <c r="I773" s="171" t="str">
        <f t="shared" ref="I773:J773" si="780">IFS(AND($B773&lt;&gt;"",$E773&lt;&gt;""),IF(INDEX(N:N,MATCH($C773,$P:$P,0),1)&lt;&gt;"",$E773*INDEX(N:N,MATCH($C773,$P:$P,0),1)+$G773,""),AND($B773&lt;&gt;"",$D773="COST",$G773&lt;0),$G773,TRUE,)</f>
        <v/>
      </c>
      <c r="J773" s="171" t="str">
        <f t="shared" si="780"/>
        <v/>
      </c>
      <c r="K773" s="309" t="str">
        <f t="shared" si="3"/>
        <v>TOTAL SA</v>
      </c>
      <c r="L773" s="143">
        <f t="shared" si="4"/>
        <v>0</v>
      </c>
      <c r="M773" s="143">
        <f t="shared" si="5"/>
        <v>137.91</v>
      </c>
      <c r="N773" s="176" t="str">
        <f>IF($P773&lt;&gt;"",IF(MAXIFS(Investment!$M:$M,Investment!$H:$H,LEFT($P773,30)&amp;"*"),MAXIFS(Investment!$M:$M,Investment!$H:$H,LEFT($P773,30)&amp;"*"),),)</f>
        <v/>
      </c>
      <c r="O773" s="177" t="str">
        <f>IF($P773&lt;&gt;"",IF(MAXIFS(Investment!$AI:$AI,Investment!$H:$H,LEFT($P773,30)&amp;"*"),MAXIFS(Investment!$AI:$AI,Investment!$H:$H,LEFT($P773,30)&amp;"*"),),)</f>
        <v/>
      </c>
      <c r="P773" s="310"/>
      <c r="R773" s="52"/>
    </row>
    <row r="774">
      <c r="A774" s="165">
        <v>41355.0</v>
      </c>
      <c r="B774" s="55"/>
      <c r="C774" s="308" t="s">
        <v>1102</v>
      </c>
      <c r="D774" s="330" t="s">
        <v>301</v>
      </c>
      <c r="E774" s="29"/>
      <c r="F774" s="169"/>
      <c r="G774" s="170">
        <v>-2.27</v>
      </c>
      <c r="H774" s="321" t="str">
        <f t="shared" si="697"/>
        <v>FRANCE TELECOM@COST@@-2.27</v>
      </c>
      <c r="I774" s="171" t="str">
        <f t="shared" ref="I774:J774" si="781">IFS(AND($B774&lt;&gt;"",$E774&lt;&gt;""),IF(INDEX(N:N,MATCH($C774,$P:$P,0),1)&lt;&gt;"",$E774*INDEX(N:N,MATCH($C774,$P:$P,0),1)+$G774,""),AND($B774&lt;&gt;"",$D774="COST",$G774&lt;0),$G774,TRUE,)</f>
        <v/>
      </c>
      <c r="J774" s="171" t="str">
        <f t="shared" si="781"/>
        <v/>
      </c>
      <c r="K774" s="309" t="str">
        <f t="shared" si="3"/>
        <v>FRANCE TELECOM</v>
      </c>
      <c r="L774" s="143">
        <f t="shared" si="4"/>
        <v>0</v>
      </c>
      <c r="M774" s="143">
        <f t="shared" si="5"/>
        <v>1049.82</v>
      </c>
      <c r="N774" s="176" t="str">
        <f>IF($P774&lt;&gt;"",IF(MAXIFS(Investment!$M:$M,Investment!$H:$H,LEFT($P774,30)&amp;"*"),MAXIFS(Investment!$M:$M,Investment!$H:$H,LEFT($P774,30)&amp;"*"),),)</f>
        <v/>
      </c>
      <c r="O774" s="177" t="str">
        <f>IF($P774&lt;&gt;"",IF(MAXIFS(Investment!$AI:$AI,Investment!$H:$H,LEFT($P774,30)&amp;"*"),MAXIFS(Investment!$AI:$AI,Investment!$H:$H,LEFT($P774,30)&amp;"*"),),)</f>
        <v/>
      </c>
      <c r="P774" s="310"/>
      <c r="R774" s="52"/>
    </row>
    <row r="775">
      <c r="A775" s="165">
        <v>41355.0</v>
      </c>
      <c r="B775" s="55"/>
      <c r="C775" s="308" t="s">
        <v>1099</v>
      </c>
      <c r="D775" s="330" t="s">
        <v>301</v>
      </c>
      <c r="E775" s="29"/>
      <c r="F775" s="169"/>
      <c r="G775" s="170">
        <v>-2.93</v>
      </c>
      <c r="H775" s="321" t="str">
        <f t="shared" si="697"/>
        <v>GDF SUEZ@COST@@-2.93</v>
      </c>
      <c r="I775" s="171" t="str">
        <f t="shared" ref="I775:J775" si="782">IFS(AND($B775&lt;&gt;"",$E775&lt;&gt;""),IF(INDEX(N:N,MATCH($C775,$P:$P,0),1)&lt;&gt;"",$E775*INDEX(N:N,MATCH($C775,$P:$P,0),1)+$G775,""),AND($B775&lt;&gt;"",$D775="COST",$G775&lt;0),$G775,TRUE,)</f>
        <v/>
      </c>
      <c r="J775" s="171" t="str">
        <f t="shared" si="782"/>
        <v/>
      </c>
      <c r="K775" s="309" t="str">
        <f t="shared" si="3"/>
        <v>GDF SUEZ</v>
      </c>
      <c r="L775" s="143">
        <f t="shared" si="4"/>
        <v>0</v>
      </c>
      <c r="M775" s="143">
        <f t="shared" si="5"/>
        <v>123.37</v>
      </c>
      <c r="N775" s="176" t="str">
        <f>IF($P775&lt;&gt;"",IF(MAXIFS(Investment!$M:$M,Investment!$H:$H,LEFT($P775,30)&amp;"*"),MAXIFS(Investment!$M:$M,Investment!$H:$H,LEFT($P775,30)&amp;"*"),),)</f>
        <v/>
      </c>
      <c r="O775" s="177" t="str">
        <f>IF($P775&lt;&gt;"",IF(MAXIFS(Investment!$AI:$AI,Investment!$H:$H,LEFT($P775,30)&amp;"*"),MAXIFS(Investment!$AI:$AI,Investment!$H:$H,LEFT($P775,30)&amp;"*"),),)</f>
        <v/>
      </c>
      <c r="P775" s="310"/>
      <c r="R775" s="52"/>
    </row>
    <row r="776">
      <c r="A776" s="165">
        <v>41355.0</v>
      </c>
      <c r="B776" s="55"/>
      <c r="C776" s="308" t="s">
        <v>1090</v>
      </c>
      <c r="D776" s="330" t="s">
        <v>301</v>
      </c>
      <c r="E776" s="29"/>
      <c r="F776" s="169"/>
      <c r="G776" s="170">
        <v>-2.27</v>
      </c>
      <c r="H776" s="321" t="str">
        <f t="shared" si="697"/>
        <v>EDF@COST@@-2.27</v>
      </c>
      <c r="I776" s="171" t="str">
        <f t="shared" ref="I776:J776" si="783">IFS(AND($B776&lt;&gt;"",$E776&lt;&gt;""),IF(INDEX(N:N,MATCH($C776,$P:$P,0),1)&lt;&gt;"",$E776*INDEX(N:N,MATCH($C776,$P:$P,0),1)+$G776,""),AND($B776&lt;&gt;"",$D776="COST",$G776&lt;0),$G776,TRUE,)</f>
        <v/>
      </c>
      <c r="J776" s="171" t="str">
        <f t="shared" si="783"/>
        <v/>
      </c>
      <c r="K776" s="309" t="str">
        <f t="shared" si="3"/>
        <v>EDF</v>
      </c>
      <c r="L776" s="143">
        <f t="shared" si="4"/>
        <v>0</v>
      </c>
      <c r="M776" s="143">
        <f t="shared" si="5"/>
        <v>1451.96</v>
      </c>
      <c r="N776" s="176" t="str">
        <f>IF($P776&lt;&gt;"",IF(MAXIFS(Investment!$M:$M,Investment!$H:$H,LEFT($P776,30)&amp;"*"),MAXIFS(Investment!$M:$M,Investment!$H:$H,LEFT($P776,30)&amp;"*"),),)</f>
        <v/>
      </c>
      <c r="O776" s="177" t="str">
        <f>IF($P776&lt;&gt;"",IF(MAXIFS(Investment!$AI:$AI,Investment!$H:$H,LEFT($P776,30)&amp;"*"),MAXIFS(Investment!$AI:$AI,Investment!$H:$H,LEFT($P776,30)&amp;"*"),),)</f>
        <v/>
      </c>
      <c r="P776" s="310"/>
      <c r="R776" s="52"/>
    </row>
    <row r="777">
      <c r="A777" s="165">
        <v>41326.0</v>
      </c>
      <c r="B777" s="154"/>
      <c r="C777" s="329"/>
      <c r="D777" s="55" t="s">
        <v>301</v>
      </c>
      <c r="E777" s="154"/>
      <c r="F777" s="169"/>
      <c r="G777" s="170">
        <v>-6.0</v>
      </c>
      <c r="H777" s="321" t="str">
        <f t="shared" si="697"/>
        <v>@COST@@-6</v>
      </c>
      <c r="I777" s="171" t="str">
        <f t="shared" ref="I777:J777" si="784">IFS(AND($B777&lt;&gt;"",$E777&lt;&gt;""),IF(INDEX(N:N,MATCH($C777,$P:$P,0),1)&lt;&gt;"",$E777*INDEX(N:N,MATCH($C777,$P:$P,0),1)+$G777,""),AND($B777&lt;&gt;"",$D777="COST",$G777&lt;0),$G777,TRUE,)</f>
        <v/>
      </c>
      <c r="J777" s="171" t="str">
        <f t="shared" si="784"/>
        <v/>
      </c>
      <c r="K777" s="309" t="str">
        <f t="shared" si="3"/>
        <v/>
      </c>
      <c r="L777" s="143" t="str">
        <f t="shared" si="4"/>
        <v/>
      </c>
      <c r="M777" s="143" t="str">
        <f t="shared" si="5"/>
        <v/>
      </c>
      <c r="N777" s="176" t="str">
        <f>IF($P777&lt;&gt;"",IF(MAXIFS(Investment!$M:$M,Investment!$H:$H,LEFT($P777,30)&amp;"*"),MAXIFS(Investment!$M:$M,Investment!$H:$H,LEFT($P777,30)&amp;"*"),),)</f>
        <v/>
      </c>
      <c r="O777" s="177" t="str">
        <f>IF($P777&lt;&gt;"",IF(MAXIFS(Investment!$AI:$AI,Investment!$H:$H,LEFT($P777,30)&amp;"*"),MAXIFS(Investment!$AI:$AI,Investment!$H:$H,LEFT($P777,30)&amp;"*"),),)</f>
        <v/>
      </c>
      <c r="P777" s="48"/>
    </row>
    <row r="778">
      <c r="A778" s="165">
        <v>41326.0</v>
      </c>
      <c r="B778" s="154"/>
      <c r="C778" s="329"/>
      <c r="D778" s="55" t="s">
        <v>299</v>
      </c>
      <c r="E778" s="154"/>
      <c r="F778" s="169"/>
      <c r="G778" s="170">
        <v>-9872.9</v>
      </c>
      <c r="H778" s="321" t="str">
        <f t="shared" si="697"/>
        <v>@APPROVISIONNEMENT@@-9872.9</v>
      </c>
      <c r="I778" s="171" t="str">
        <f t="shared" ref="I778:J778" si="785">IFS(AND($B778&lt;&gt;"",$E778&lt;&gt;""),IF(INDEX(N:N,MATCH($C778,$P:$P,0),1)&lt;&gt;"",$E778*INDEX(N:N,MATCH($C778,$P:$P,0),1)+$G778,""),AND($B778&lt;&gt;"",$D778="COST",$G778&lt;0),$G778,TRUE,)</f>
        <v/>
      </c>
      <c r="J778" s="171" t="str">
        <f t="shared" si="785"/>
        <v/>
      </c>
      <c r="K778" s="309" t="str">
        <f t="shared" si="3"/>
        <v/>
      </c>
      <c r="L778" s="143" t="str">
        <f t="shared" si="4"/>
        <v/>
      </c>
      <c r="M778" s="143" t="str">
        <f t="shared" si="5"/>
        <v/>
      </c>
      <c r="N778" s="176" t="str">
        <f>IF($P778&lt;&gt;"",IF(MAXIFS(Investment!$M:$M,Investment!$H:$H,LEFT($P778,30)&amp;"*"),MAXIFS(Investment!$M:$M,Investment!$H:$H,LEFT($P778,30)&amp;"*"),),)</f>
        <v/>
      </c>
      <c r="O778" s="177" t="str">
        <f>IF($P778&lt;&gt;"",IF(MAXIFS(Investment!$AI:$AI,Investment!$H:$H,LEFT($P778,30)&amp;"*"),MAXIFS(Investment!$AI:$AI,Investment!$H:$H,LEFT($P778,30)&amp;"*"),),)</f>
        <v/>
      </c>
      <c r="P778" s="48"/>
    </row>
    <row r="779">
      <c r="A779" s="165">
        <v>41124.0</v>
      </c>
      <c r="C779" s="48" t="s">
        <v>1102</v>
      </c>
      <c r="D779" s="55" t="s">
        <v>280</v>
      </c>
      <c r="E779" s="29">
        <v>-455.0</v>
      </c>
      <c r="F779" s="169">
        <v>10.8</v>
      </c>
      <c r="G779" s="170">
        <v>4909.58</v>
      </c>
      <c r="H779" s="321" t="str">
        <f t="shared" si="697"/>
        <v>FRANCE TELECOM@SELL@-455@4909.58</v>
      </c>
      <c r="I779" s="171" t="str">
        <f t="shared" ref="I779:J779" si="786">IFS(AND($B779&lt;&gt;"",$E779&lt;&gt;""),IF(INDEX(N:N,MATCH($C779,$P:$P,0),1)&lt;&gt;"",$E779*INDEX(N:N,MATCH($C779,$P:$P,0),1)+$G779,""),AND($B779&lt;&gt;"",$D779="COST",$G779&lt;0),$G779,TRUE,)</f>
        <v/>
      </c>
      <c r="J779" s="171" t="str">
        <f t="shared" si="786"/>
        <v/>
      </c>
      <c r="K779" s="309" t="str">
        <f t="shared" si="3"/>
        <v>FRANCE TELECOM</v>
      </c>
      <c r="L779" s="143">
        <f t="shared" si="4"/>
        <v>0</v>
      </c>
      <c r="M779" s="143">
        <f t="shared" si="5"/>
        <v>1049.82</v>
      </c>
      <c r="N779" s="176" t="str">
        <f>IF($P779&lt;&gt;"",IF(MAXIFS(Investment!$M:$M,Investment!$H:$H,LEFT($P779,30)&amp;"*"),MAXIFS(Investment!$M:$M,Investment!$H:$H,LEFT($P779,30)&amp;"*"),),)</f>
        <v/>
      </c>
      <c r="O779" s="177" t="str">
        <f>IF($P779&lt;&gt;"",IF(MAXIFS(Investment!$AI:$AI,Investment!$H:$H,LEFT($P779,30)&amp;"*"),MAXIFS(Investment!$AI:$AI,Investment!$H:$H,LEFT($P779,30)&amp;"*"),),)</f>
        <v/>
      </c>
      <c r="P779" s="310"/>
      <c r="R779" s="52"/>
    </row>
    <row r="780">
      <c r="A780" s="165">
        <v>41122.0</v>
      </c>
      <c r="C780" s="308" t="s">
        <v>1101</v>
      </c>
      <c r="D780" s="55" t="s">
        <v>280</v>
      </c>
      <c r="E780" s="29">
        <v>-33.0</v>
      </c>
      <c r="F780" s="169">
        <v>37.93</v>
      </c>
      <c r="G780" s="170">
        <v>1250.4</v>
      </c>
      <c r="H780" s="321" t="str">
        <f t="shared" si="697"/>
        <v>TOTAL SA@SELL@-33@1250.4</v>
      </c>
      <c r="I780" s="171" t="str">
        <f t="shared" ref="I780:J780" si="787">IFS(AND($B780&lt;&gt;"",$E780&lt;&gt;""),IF(INDEX(N:N,MATCH($C780,$P:$P,0),1)&lt;&gt;"",$E780*INDEX(N:N,MATCH($C780,$P:$P,0),1)+$G780,""),AND($B780&lt;&gt;"",$D780="COST",$G780&lt;0),$G780,TRUE,)</f>
        <v/>
      </c>
      <c r="J780" s="171" t="str">
        <f t="shared" si="787"/>
        <v/>
      </c>
      <c r="K780" s="309" t="str">
        <f t="shared" si="3"/>
        <v>TOTAL SA</v>
      </c>
      <c r="L780" s="143">
        <f t="shared" si="4"/>
        <v>0</v>
      </c>
      <c r="M780" s="143">
        <f t="shared" si="5"/>
        <v>137.91</v>
      </c>
      <c r="N780" s="176" t="str">
        <f>IF($P780&lt;&gt;"",IF(MAXIFS(Investment!$M:$M,Investment!$H:$H,LEFT($P780,30)&amp;"*"),MAXIFS(Investment!$M:$M,Investment!$H:$H,LEFT($P780,30)&amp;"*"),),)</f>
        <v/>
      </c>
      <c r="O780" s="177" t="str">
        <f>IF($P780&lt;&gt;"",IF(MAXIFS(Investment!$AI:$AI,Investment!$H:$H,LEFT($P780,30)&amp;"*"),MAXIFS(Investment!$AI:$AI,Investment!$H:$H,LEFT($P780,30)&amp;"*"),),)</f>
        <v/>
      </c>
      <c r="P780" s="310"/>
      <c r="R780" s="52"/>
    </row>
    <row r="781">
      <c r="A781" s="165">
        <v>41122.0</v>
      </c>
      <c r="C781" s="48" t="s">
        <v>1091</v>
      </c>
      <c r="D781" s="55" t="s">
        <v>280</v>
      </c>
      <c r="E781" s="29">
        <v>-70.0</v>
      </c>
      <c r="F781" s="169">
        <v>20.6</v>
      </c>
      <c r="G781" s="170">
        <v>1440.7</v>
      </c>
      <c r="H781" s="321" t="str">
        <f t="shared" si="697"/>
        <v>BOUYGUES@SELL@-70@1440.7</v>
      </c>
      <c r="I781" s="171" t="str">
        <f t="shared" ref="I781:J781" si="788">IFS(AND($B781&lt;&gt;"",$E781&lt;&gt;""),IF(INDEX(N:N,MATCH($C781,$P:$P,0),1)&lt;&gt;"",$E781*INDEX(N:N,MATCH($C781,$P:$P,0),1)+$G781,""),AND($B781&lt;&gt;"",$D781="COST",$G781&lt;0),$G781,TRUE,)</f>
        <v/>
      </c>
      <c r="J781" s="171" t="str">
        <f t="shared" si="788"/>
        <v/>
      </c>
      <c r="K781" s="309" t="str">
        <f t="shared" si="3"/>
        <v>BOUYGUES</v>
      </c>
      <c r="L781" s="143">
        <f t="shared" si="4"/>
        <v>0</v>
      </c>
      <c r="M781" s="143">
        <f t="shared" si="5"/>
        <v>1091.52</v>
      </c>
      <c r="N781" s="176" t="str">
        <f>IF($P781&lt;&gt;"",IF(MAXIFS(Investment!$M:$M,Investment!$H:$H,LEFT($P781,30)&amp;"*"),MAXIFS(Investment!$M:$M,Investment!$H:$H,LEFT($P781,30)&amp;"*"),),)</f>
        <v/>
      </c>
      <c r="O781" s="177" t="str">
        <f>IF($P781&lt;&gt;"",IF(MAXIFS(Investment!$AI:$AI,Investment!$H:$H,LEFT($P781,30)&amp;"*"),MAXIFS(Investment!$AI:$AI,Investment!$H:$H,LEFT($P781,30)&amp;"*"),),)</f>
        <v/>
      </c>
      <c r="P781" s="310"/>
      <c r="R781" s="52"/>
    </row>
    <row r="782">
      <c r="A782" s="165">
        <v>41122.0</v>
      </c>
      <c r="C782" s="48" t="s">
        <v>1099</v>
      </c>
      <c r="D782" s="55" t="s">
        <v>280</v>
      </c>
      <c r="E782" s="29">
        <v>-74.0</v>
      </c>
      <c r="F782" s="169">
        <v>18.27</v>
      </c>
      <c r="G782" s="170">
        <v>1350.39</v>
      </c>
      <c r="H782" s="321" t="str">
        <f t="shared" si="697"/>
        <v>GDF SUEZ@SELL@-74@1350.39</v>
      </c>
      <c r="I782" s="171" t="str">
        <f t="shared" ref="I782:J782" si="789">IFS(AND($B782&lt;&gt;"",$E782&lt;&gt;""),IF(INDEX(N:N,MATCH($C782,$P:$P,0),1)&lt;&gt;"",$E782*INDEX(N:N,MATCH($C782,$P:$P,0),1)+$G782,""),AND($B782&lt;&gt;"",$D782="COST",$G782&lt;0),$G782,TRUE,)</f>
        <v/>
      </c>
      <c r="J782" s="171" t="str">
        <f t="shared" si="789"/>
        <v/>
      </c>
      <c r="K782" s="309" t="str">
        <f t="shared" si="3"/>
        <v>GDF SUEZ</v>
      </c>
      <c r="L782" s="143">
        <f t="shared" si="4"/>
        <v>0</v>
      </c>
      <c r="M782" s="143">
        <f t="shared" si="5"/>
        <v>123.37</v>
      </c>
      <c r="N782" s="176" t="str">
        <f>IF($P782&lt;&gt;"",IF(MAXIFS(Investment!$M:$M,Investment!$H:$H,LEFT($P782,30)&amp;"*"),MAXIFS(Investment!$M:$M,Investment!$H:$H,LEFT($P782,30)&amp;"*"),),)</f>
        <v/>
      </c>
      <c r="O782" s="177" t="str">
        <f>IF($P782&lt;&gt;"",IF(MAXIFS(Investment!$AI:$AI,Investment!$H:$H,LEFT($P782,30)&amp;"*"),MAXIFS(Investment!$AI:$AI,Investment!$H:$H,LEFT($P782,30)&amp;"*"),),)</f>
        <v/>
      </c>
      <c r="P782" s="310"/>
      <c r="R782" s="52"/>
    </row>
    <row r="783">
      <c r="A783" s="165">
        <v>41122.0</v>
      </c>
      <c r="C783" s="48" t="s">
        <v>1090</v>
      </c>
      <c r="D783" s="55" t="s">
        <v>280</v>
      </c>
      <c r="E783" s="29">
        <v>-70.0</v>
      </c>
      <c r="F783" s="169">
        <v>16.67</v>
      </c>
      <c r="G783" s="170">
        <v>1165.5</v>
      </c>
      <c r="H783" s="321" t="str">
        <f t="shared" si="697"/>
        <v>EDF@SELL@-70@1165.5</v>
      </c>
      <c r="I783" s="171" t="str">
        <f t="shared" ref="I783:J783" si="790">IFS(AND($B783&lt;&gt;"",$E783&lt;&gt;""),IF(INDEX(N:N,MATCH($C783,$P:$P,0),1)&lt;&gt;"",$E783*INDEX(N:N,MATCH($C783,$P:$P,0),1)+$G783,""),AND($B783&lt;&gt;"",$D783="COST",$G783&lt;0),$G783,TRUE,)</f>
        <v/>
      </c>
      <c r="J783" s="171" t="str">
        <f t="shared" si="790"/>
        <v/>
      </c>
      <c r="K783" s="309" t="str">
        <f t="shared" si="3"/>
        <v>EDF</v>
      </c>
      <c r="L783" s="143">
        <f t="shared" si="4"/>
        <v>0</v>
      </c>
      <c r="M783" s="143">
        <f t="shared" si="5"/>
        <v>1451.96</v>
      </c>
      <c r="N783" s="176" t="str">
        <f>IF($P783&lt;&gt;"",IF(MAXIFS(Investment!$M:$M,Investment!$H:$H,LEFT($P783,30)&amp;"*"),MAXIFS(Investment!$M:$M,Investment!$H:$H,LEFT($P783,30)&amp;"*"),),)</f>
        <v/>
      </c>
      <c r="O783" s="177" t="str">
        <f>IF($P783&lt;&gt;"",IF(MAXIFS(Investment!$AI:$AI,Investment!$H:$H,LEFT($P783,30)&amp;"*"),MAXIFS(Investment!$AI:$AI,Investment!$H:$H,LEFT($P783,30)&amp;"*"),),)</f>
        <v/>
      </c>
      <c r="P783" s="310"/>
      <c r="R783" s="52"/>
    </row>
    <row r="784">
      <c r="A784" s="165">
        <v>41100.0</v>
      </c>
      <c r="C784" s="48" t="s">
        <v>1103</v>
      </c>
      <c r="D784" s="55" t="s">
        <v>280</v>
      </c>
      <c r="E784" s="29">
        <v>-263.0</v>
      </c>
      <c r="F784" s="169">
        <v>15.08</v>
      </c>
      <c r="G784" s="170">
        <v>3962.47</v>
      </c>
      <c r="H784" s="321" t="str">
        <f t="shared" si="697"/>
        <v>VIVENDI@SELL@-263@3962.47</v>
      </c>
      <c r="I784" s="171" t="str">
        <f t="shared" ref="I784:J784" si="791">IFS(AND($B784&lt;&gt;"",$E784&lt;&gt;""),IF(INDEX(N:N,MATCH($C784,$P:$P,0),1)&lt;&gt;"",$E784*INDEX(N:N,MATCH($C784,$P:$P,0),1)+$G784,""),AND($B784&lt;&gt;"",$D784="COST",$G784&lt;0),$G784,TRUE,)</f>
        <v/>
      </c>
      <c r="J784" s="171" t="str">
        <f t="shared" si="791"/>
        <v/>
      </c>
      <c r="K784" s="309" t="str">
        <f t="shared" si="3"/>
        <v>VIVENDI</v>
      </c>
      <c r="L784" s="143">
        <f t="shared" si="4"/>
        <v>0</v>
      </c>
      <c r="M784" s="143">
        <f t="shared" si="5"/>
        <v>460.31</v>
      </c>
      <c r="N784" s="176" t="str">
        <f>IF($P784&lt;&gt;"",IF(MAXIFS(Investment!$M:$M,Investment!$H:$H,LEFT($P784,30)&amp;"*"),MAXIFS(Investment!$M:$M,Investment!$H:$H,LEFT($P784,30)&amp;"*"),),)</f>
        <v/>
      </c>
      <c r="O784" s="177" t="str">
        <f>IF($P784&lt;&gt;"",IF(MAXIFS(Investment!$AI:$AI,Investment!$H:$H,LEFT($P784,30)&amp;"*"),MAXIFS(Investment!$AI:$AI,Investment!$H:$H,LEFT($P784,30)&amp;"*"),),)</f>
        <v/>
      </c>
      <c r="P784" s="310"/>
      <c r="R784" s="52"/>
    </row>
    <row r="785">
      <c r="A785" s="165">
        <v>41081.0</v>
      </c>
      <c r="C785" s="308" t="s">
        <v>1101</v>
      </c>
      <c r="D785" s="55" t="s">
        <v>307</v>
      </c>
      <c r="E785" s="29"/>
      <c r="F785" s="169"/>
      <c r="G785" s="170">
        <v>16.32</v>
      </c>
      <c r="H785" s="321" t="str">
        <f t="shared" si="697"/>
        <v>TOTAL SA@DIVIDEND@@16.32</v>
      </c>
      <c r="I785" s="171" t="str">
        <f t="shared" ref="I785:J785" si="792">IFS(AND($B785&lt;&gt;"",$E785&lt;&gt;""),IF(INDEX(N:N,MATCH($C785,$P:$P,0),1)&lt;&gt;"",$E785*INDEX(N:N,MATCH($C785,$P:$P,0),1)+$G785,""),AND($B785&lt;&gt;"",$D785="COST",$G785&lt;0),$G785,TRUE,)</f>
        <v/>
      </c>
      <c r="J785" s="171" t="str">
        <f t="shared" si="792"/>
        <v/>
      </c>
      <c r="K785" s="309" t="str">
        <f t="shared" si="3"/>
        <v>TOTAL SA</v>
      </c>
      <c r="L785" s="143">
        <f t="shared" si="4"/>
        <v>0</v>
      </c>
      <c r="M785" s="143">
        <f t="shared" si="5"/>
        <v>137.91</v>
      </c>
      <c r="N785" s="176" t="str">
        <f>IF($P785&lt;&gt;"",IF(MAXIFS(Investment!$M:$M,Investment!$H:$H,LEFT($P785,30)&amp;"*"),MAXIFS(Investment!$M:$M,Investment!$H:$H,LEFT($P785,30)&amp;"*"),),)</f>
        <v/>
      </c>
      <c r="O785" s="177" t="str">
        <f>IF($P785&lt;&gt;"",IF(MAXIFS(Investment!$AI:$AI,Investment!$H:$H,LEFT($P785,30)&amp;"*"),MAXIFS(Investment!$AI:$AI,Investment!$H:$H,LEFT($P785,30)&amp;"*"),),)</f>
        <v/>
      </c>
      <c r="P785" s="310"/>
      <c r="R785" s="52"/>
    </row>
    <row r="786">
      <c r="A786" s="165">
        <v>41073.0</v>
      </c>
      <c r="B786" s="55"/>
      <c r="C786" s="308" t="s">
        <v>1102</v>
      </c>
      <c r="D786" s="55" t="s">
        <v>307</v>
      </c>
      <c r="E786" s="29"/>
      <c r="F786" s="169"/>
      <c r="G786" s="170">
        <v>314.9</v>
      </c>
      <c r="H786" s="321" t="str">
        <f t="shared" si="697"/>
        <v>FRANCE TELECOM@DIVIDEND@@314.9</v>
      </c>
      <c r="I786" s="171" t="str">
        <f t="shared" ref="I786:J786" si="793">IFS(AND($B786&lt;&gt;"",$E786&lt;&gt;""),IF(INDEX(N:N,MATCH($C786,$P:$P,0),1)&lt;&gt;"",$E786*INDEX(N:N,MATCH($C786,$P:$P,0),1)+$G786,""),AND($B786&lt;&gt;"",$D786="COST",$G786&lt;0),$G786,TRUE,)</f>
        <v/>
      </c>
      <c r="J786" s="171" t="str">
        <f t="shared" si="793"/>
        <v/>
      </c>
      <c r="K786" s="309" t="str">
        <f t="shared" si="3"/>
        <v>FRANCE TELECOM</v>
      </c>
      <c r="L786" s="143">
        <f t="shared" si="4"/>
        <v>0</v>
      </c>
      <c r="M786" s="143">
        <f t="shared" si="5"/>
        <v>1049.82</v>
      </c>
      <c r="N786" s="176" t="str">
        <f>IF($P786&lt;&gt;"",IF(MAXIFS(Investment!$M:$M,Investment!$H:$H,LEFT($P786,30)&amp;"*"),MAXIFS(Investment!$M:$M,Investment!$H:$H,LEFT($P786,30)&amp;"*"),),)</f>
        <v/>
      </c>
      <c r="O786" s="177" t="str">
        <f>IF($P786&lt;&gt;"",IF(MAXIFS(Investment!$AI:$AI,Investment!$H:$H,LEFT($P786,30)&amp;"*"),MAXIFS(Investment!$AI:$AI,Investment!$H:$H,LEFT($P786,30)&amp;"*"),),)</f>
        <v/>
      </c>
      <c r="P786" s="310"/>
      <c r="R786" s="52"/>
    </row>
    <row r="787">
      <c r="A787" s="165">
        <v>41066.0</v>
      </c>
      <c r="B787" s="55"/>
      <c r="C787" s="308" t="s">
        <v>1090</v>
      </c>
      <c r="D787" s="55" t="s">
        <v>307</v>
      </c>
      <c r="E787" s="29"/>
      <c r="F787" s="169"/>
      <c r="G787" s="170">
        <v>35.14</v>
      </c>
      <c r="H787" s="321" t="str">
        <f t="shared" si="697"/>
        <v>EDF@DIVIDEND@@35.14</v>
      </c>
      <c r="I787" s="171" t="str">
        <f t="shared" ref="I787:J787" si="794">IFS(AND($B787&lt;&gt;"",$E787&lt;&gt;""),IF(INDEX(N:N,MATCH($C787,$P:$P,0),1)&lt;&gt;"",$E787*INDEX(N:N,MATCH($C787,$P:$P,0),1)+$G787,""),AND($B787&lt;&gt;"",$D787="COST",$G787&lt;0),$G787,TRUE,)</f>
        <v/>
      </c>
      <c r="J787" s="171" t="str">
        <f t="shared" si="794"/>
        <v/>
      </c>
      <c r="K787" s="309" t="str">
        <f t="shared" si="3"/>
        <v>EDF</v>
      </c>
      <c r="L787" s="143">
        <f t="shared" si="4"/>
        <v>0</v>
      </c>
      <c r="M787" s="143">
        <f t="shared" si="5"/>
        <v>1451.96</v>
      </c>
      <c r="N787" s="176" t="str">
        <f>IF($P787&lt;&gt;"",IF(MAXIFS(Investment!$M:$M,Investment!$H:$H,LEFT($P787,30)&amp;"*"),MAXIFS(Investment!$M:$M,Investment!$H:$H,LEFT($P787,30)&amp;"*"),),)</f>
        <v/>
      </c>
      <c r="O787" s="177" t="str">
        <f>IF($P787&lt;&gt;"",IF(MAXIFS(Investment!$AI:$AI,Investment!$H:$H,LEFT($P787,30)&amp;"*"),MAXIFS(Investment!$AI:$AI,Investment!$H:$H,LEFT($P787,30)&amp;"*"),),)</f>
        <v/>
      </c>
      <c r="P787" s="310"/>
      <c r="R787" s="52"/>
    </row>
    <row r="788">
      <c r="A788" s="165">
        <v>41061.0</v>
      </c>
      <c r="B788" s="55"/>
      <c r="C788" s="308" t="s">
        <v>1103</v>
      </c>
      <c r="D788" s="55" t="s">
        <v>307</v>
      </c>
      <c r="E788" s="29"/>
      <c r="F788" s="169"/>
      <c r="G788" s="170">
        <v>6.5</v>
      </c>
      <c r="H788" s="321" t="str">
        <f t="shared" si="697"/>
        <v>VIVENDI@DIVIDEND@@6.5</v>
      </c>
      <c r="I788" s="171" t="str">
        <f t="shared" ref="I788:J788" si="795">IFS(AND($B788&lt;&gt;"",$E788&lt;&gt;""),IF(INDEX(N:N,MATCH($C788,$P:$P,0),1)&lt;&gt;"",$E788*INDEX(N:N,MATCH($C788,$P:$P,0),1)+$G788,""),AND($B788&lt;&gt;"",$D788="COST",$G788&lt;0),$G788,TRUE,)</f>
        <v/>
      </c>
      <c r="J788" s="171" t="str">
        <f t="shared" si="795"/>
        <v/>
      </c>
      <c r="K788" s="309" t="str">
        <f t="shared" si="3"/>
        <v>VIVENDI</v>
      </c>
      <c r="L788" s="143">
        <f t="shared" si="4"/>
        <v>0</v>
      </c>
      <c r="M788" s="143">
        <f t="shared" si="5"/>
        <v>460.31</v>
      </c>
      <c r="N788" s="176" t="str">
        <f>IF($P788&lt;&gt;"",IF(MAXIFS(Investment!$M:$M,Investment!$H:$H,LEFT($P788,30)&amp;"*"),MAXIFS(Investment!$M:$M,Investment!$H:$H,LEFT($P788,30)&amp;"*"),),)</f>
        <v/>
      </c>
      <c r="O788" s="177" t="str">
        <f>IF($P788&lt;&gt;"",IF(MAXIFS(Investment!$AI:$AI,Investment!$H:$H,LEFT($P788,30)&amp;"*"),MAXIFS(Investment!$AI:$AI,Investment!$H:$H,LEFT($P788,30)&amp;"*"),),)</f>
        <v/>
      </c>
      <c r="P788" s="310"/>
      <c r="R788" s="52"/>
    </row>
    <row r="789">
      <c r="A789" s="165">
        <v>41061.0</v>
      </c>
      <c r="B789" s="55"/>
      <c r="C789" s="308" t="s">
        <v>1103</v>
      </c>
      <c r="D789" s="55" t="s">
        <v>307</v>
      </c>
      <c r="E789" s="29">
        <v>-15.0</v>
      </c>
      <c r="F789" s="169">
        <v>0.0</v>
      </c>
      <c r="G789" s="170">
        <v>0.0</v>
      </c>
      <c r="H789" s="321" t="str">
        <f t="shared" si="697"/>
        <v>VIVENDI@DIVIDEND@-15@0</v>
      </c>
      <c r="I789" s="171" t="str">
        <f t="shared" ref="I789:J789" si="796">IFS(AND($B789&lt;&gt;"",$E789&lt;&gt;""),IF(INDEX(N:N,MATCH($C789,$P:$P,0),1)&lt;&gt;"",$E789*INDEX(N:N,MATCH($C789,$P:$P,0),1)+$G789,""),AND($B789&lt;&gt;"",$D789="COST",$G789&lt;0),$G789,TRUE,)</f>
        <v/>
      </c>
      <c r="J789" s="171" t="str">
        <f t="shared" si="796"/>
        <v/>
      </c>
      <c r="K789" s="309" t="str">
        <f t="shared" si="3"/>
        <v>VIVENDI</v>
      </c>
      <c r="L789" s="143">
        <f t="shared" si="4"/>
        <v>0</v>
      </c>
      <c r="M789" s="143">
        <f t="shared" si="5"/>
        <v>460.31</v>
      </c>
      <c r="N789" s="176" t="str">
        <f>IF($P789&lt;&gt;"",IF(MAXIFS(Investment!$M:$M,Investment!$H:$H,LEFT($P789,30)&amp;"*"),MAXIFS(Investment!$M:$M,Investment!$H:$H,LEFT($P789,30)&amp;"*"),),)</f>
        <v/>
      </c>
      <c r="O789" s="177" t="str">
        <f>IF($P789&lt;&gt;"",IF(MAXIFS(Investment!$AI:$AI,Investment!$H:$H,LEFT($P789,30)&amp;"*"),MAXIFS(Investment!$AI:$AI,Investment!$H:$H,LEFT($P789,30)&amp;"*"),),)</f>
        <v/>
      </c>
      <c r="P789" s="310"/>
      <c r="R789" s="52"/>
    </row>
    <row r="790">
      <c r="A790" s="165">
        <v>41053.0</v>
      </c>
      <c r="C790" s="48" t="s">
        <v>1099</v>
      </c>
      <c r="D790" s="55" t="s">
        <v>307</v>
      </c>
      <c r="E790" s="29"/>
      <c r="F790" s="169"/>
      <c r="G790" s="170">
        <v>41.75</v>
      </c>
      <c r="H790" s="321" t="str">
        <f t="shared" si="697"/>
        <v>GDF SUEZ@DIVIDEND@@41.75</v>
      </c>
      <c r="I790" s="171" t="str">
        <f t="shared" ref="I790:J790" si="797">IFS(AND($B790&lt;&gt;"",$E790&lt;&gt;""),IF(INDEX(N:N,MATCH($C790,$P:$P,0),1)&lt;&gt;"",$E790*INDEX(N:N,MATCH($C790,$P:$P,0),1)+$G790,""),AND($B790&lt;&gt;"",$D790="COST",$G790&lt;0),$G790,TRUE,)</f>
        <v/>
      </c>
      <c r="J790" s="171" t="str">
        <f t="shared" si="797"/>
        <v/>
      </c>
      <c r="K790" s="309" t="str">
        <f t="shared" si="3"/>
        <v>GDF SUEZ</v>
      </c>
      <c r="L790" s="143">
        <f t="shared" si="4"/>
        <v>0</v>
      </c>
      <c r="M790" s="143">
        <f t="shared" si="5"/>
        <v>123.37</v>
      </c>
      <c r="N790" s="176" t="str">
        <f>IF($P790&lt;&gt;"",IF(MAXIFS(Investment!$M:$M,Investment!$H:$H,LEFT($P790,30)&amp;"*"),MAXIFS(Investment!$M:$M,Investment!$H:$H,LEFT($P790,30)&amp;"*"),),)</f>
        <v/>
      </c>
      <c r="O790" s="177" t="str">
        <f>IF($P790&lt;&gt;"",IF(MAXIFS(Investment!$AI:$AI,Investment!$H:$H,LEFT($P790,30)&amp;"*"),MAXIFS(Investment!$AI:$AI,Investment!$H:$H,LEFT($P790,30)&amp;"*"),),)</f>
        <v/>
      </c>
      <c r="P790" s="310"/>
      <c r="R790" s="52"/>
    </row>
    <row r="791">
      <c r="A791" s="165">
        <v>41050.0</v>
      </c>
      <c r="B791" s="55"/>
      <c r="C791" s="308" t="s">
        <v>1103</v>
      </c>
      <c r="D791" s="55" t="s">
        <v>307</v>
      </c>
      <c r="E791" s="29">
        <v>8.0</v>
      </c>
      <c r="F791" s="169">
        <v>13.2</v>
      </c>
      <c r="G791" s="170">
        <v>0.0</v>
      </c>
      <c r="H791" s="321" t="str">
        <f t="shared" si="697"/>
        <v>VIVENDI@DIVIDEND@8@0</v>
      </c>
      <c r="I791" s="171" t="str">
        <f t="shared" ref="I791:J791" si="798">IFS(AND($B791&lt;&gt;"",$E791&lt;&gt;""),IF(INDEX(N:N,MATCH($C791,$P:$P,0),1)&lt;&gt;"",$E791*INDEX(N:N,MATCH($C791,$P:$P,0),1)+$G791,""),AND($B791&lt;&gt;"",$D791="COST",$G791&lt;0),$G791,TRUE,)</f>
        <v/>
      </c>
      <c r="J791" s="171" t="str">
        <f t="shared" si="798"/>
        <v/>
      </c>
      <c r="K791" s="309" t="str">
        <f t="shared" si="3"/>
        <v>VIVENDI</v>
      </c>
      <c r="L791" s="143">
        <f t="shared" si="4"/>
        <v>0</v>
      </c>
      <c r="M791" s="143">
        <f t="shared" si="5"/>
        <v>460.31</v>
      </c>
      <c r="N791" s="176" t="str">
        <f>IF($P791&lt;&gt;"",IF(MAXIFS(Investment!$M:$M,Investment!$H:$H,LEFT($P791,30)&amp;"*"),MAXIFS(Investment!$M:$M,Investment!$H:$H,LEFT($P791,30)&amp;"*"),),)</f>
        <v/>
      </c>
      <c r="O791" s="177" t="str">
        <f>IF($P791&lt;&gt;"",IF(MAXIFS(Investment!$AI:$AI,Investment!$H:$H,LEFT($P791,30)&amp;"*"),MAXIFS(Investment!$AI:$AI,Investment!$H:$H,LEFT($P791,30)&amp;"*"),),)</f>
        <v/>
      </c>
      <c r="P791" s="310"/>
      <c r="R791" s="52"/>
    </row>
    <row r="792">
      <c r="A792" s="165">
        <v>41050.0</v>
      </c>
      <c r="B792" s="55"/>
      <c r="C792" s="308" t="s">
        <v>1103</v>
      </c>
      <c r="D792" s="55" t="s">
        <v>307</v>
      </c>
      <c r="E792" s="29">
        <v>-240.0</v>
      </c>
      <c r="F792" s="169">
        <v>0.0</v>
      </c>
      <c r="G792" s="170">
        <v>0.0</v>
      </c>
      <c r="H792" s="321" t="str">
        <f t="shared" si="697"/>
        <v>VIVENDI@DIVIDEND@-240@0</v>
      </c>
      <c r="I792" s="171" t="str">
        <f t="shared" ref="I792:J792" si="799">IFS(AND($B792&lt;&gt;"",$E792&lt;&gt;""),IF(INDEX(N:N,MATCH($C792,$P:$P,0),1)&lt;&gt;"",$E792*INDEX(N:N,MATCH($C792,$P:$P,0),1)+$G792,""),AND($B792&lt;&gt;"",$D792="COST",$G792&lt;0),$G792,TRUE,)</f>
        <v/>
      </c>
      <c r="J792" s="171" t="str">
        <f t="shared" si="799"/>
        <v/>
      </c>
      <c r="K792" s="309" t="str">
        <f t="shared" si="3"/>
        <v>VIVENDI</v>
      </c>
      <c r="L792" s="143">
        <f t="shared" si="4"/>
        <v>0</v>
      </c>
      <c r="M792" s="143">
        <f t="shared" si="5"/>
        <v>460.31</v>
      </c>
      <c r="N792" s="176" t="str">
        <f>IF($P792&lt;&gt;"",IF(MAXIFS(Investment!$M:$M,Investment!$H:$H,LEFT($P792,30)&amp;"*"),MAXIFS(Investment!$M:$M,Investment!$H:$H,LEFT($P792,30)&amp;"*"),),)</f>
        <v/>
      </c>
      <c r="O792" s="177" t="str">
        <f>IF($P792&lt;&gt;"",IF(MAXIFS(Investment!$AI:$AI,Investment!$H:$H,LEFT($P792,30)&amp;"*"),MAXIFS(Investment!$AI:$AI,Investment!$H:$H,LEFT($P792,30)&amp;"*"),),)</f>
        <v/>
      </c>
      <c r="P792" s="310"/>
      <c r="R792" s="52"/>
    </row>
    <row r="793">
      <c r="A793" s="165">
        <v>41038.0</v>
      </c>
      <c r="C793" s="48" t="s">
        <v>1103</v>
      </c>
      <c r="D793" s="55" t="s">
        <v>307</v>
      </c>
      <c r="E793" s="29"/>
      <c r="F793" s="169"/>
      <c r="G793" s="170">
        <v>220.61</v>
      </c>
      <c r="H793" s="321" t="str">
        <f t="shared" si="697"/>
        <v>VIVENDI@DIVIDEND@@220.61</v>
      </c>
      <c r="I793" s="171" t="str">
        <f t="shared" ref="I793:J793" si="800">IFS(AND($B793&lt;&gt;"",$E793&lt;&gt;""),IF(INDEX(N:N,MATCH($C793,$P:$P,0),1)&lt;&gt;"",$E793*INDEX(N:N,MATCH($C793,$P:$P,0),1)+$G793,""),AND($B793&lt;&gt;"",$D793="COST",$G793&lt;0),$G793,TRUE,)</f>
        <v/>
      </c>
      <c r="J793" s="171" t="str">
        <f t="shared" si="800"/>
        <v/>
      </c>
      <c r="K793" s="309" t="str">
        <f t="shared" si="3"/>
        <v>VIVENDI</v>
      </c>
      <c r="L793" s="143">
        <f t="shared" si="4"/>
        <v>0</v>
      </c>
      <c r="M793" s="143">
        <f t="shared" si="5"/>
        <v>460.31</v>
      </c>
      <c r="N793" s="176" t="str">
        <f>IF($P793&lt;&gt;"",IF(MAXIFS(Investment!$M:$M,Investment!$H:$H,LEFT($P793,30)&amp;"*"),MAXIFS(Investment!$M:$M,Investment!$H:$H,LEFT($P793,30)&amp;"*"),),)</f>
        <v/>
      </c>
      <c r="O793" s="177" t="str">
        <f>IF($P793&lt;&gt;"",IF(MAXIFS(Investment!$AI:$AI,Investment!$H:$H,LEFT($P793,30)&amp;"*"),MAXIFS(Investment!$AI:$AI,Investment!$H:$H,LEFT($P793,30)&amp;"*"),),)</f>
        <v/>
      </c>
      <c r="P793" s="310"/>
      <c r="R793" s="52"/>
    </row>
    <row r="794">
      <c r="A794" s="165">
        <v>41038.0</v>
      </c>
      <c r="B794" s="55"/>
      <c r="C794" s="308" t="s">
        <v>1103</v>
      </c>
      <c r="D794" s="55" t="s">
        <v>307</v>
      </c>
      <c r="E794" s="29">
        <v>255.0</v>
      </c>
      <c r="F794" s="169">
        <v>0.0</v>
      </c>
      <c r="G794" s="170">
        <v>0.0</v>
      </c>
      <c r="H794" s="321" t="str">
        <f t="shared" si="697"/>
        <v>VIVENDI@DIVIDEND@255@0</v>
      </c>
      <c r="I794" s="171" t="str">
        <f t="shared" ref="I794:J794" si="801">IFS(AND($B794&lt;&gt;"",$E794&lt;&gt;""),IF(INDEX(N:N,MATCH($C794,$P:$P,0),1)&lt;&gt;"",$E794*INDEX(N:N,MATCH($C794,$P:$P,0),1)+$G794,""),AND($B794&lt;&gt;"",$D794="COST",$G794&lt;0),$G794,TRUE,)</f>
        <v/>
      </c>
      <c r="J794" s="171" t="str">
        <f t="shared" si="801"/>
        <v/>
      </c>
      <c r="K794" s="309" t="str">
        <f t="shared" si="3"/>
        <v>VIVENDI</v>
      </c>
      <c r="L794" s="143">
        <f t="shared" si="4"/>
        <v>0</v>
      </c>
      <c r="M794" s="143">
        <f t="shared" si="5"/>
        <v>460.31</v>
      </c>
      <c r="N794" s="176" t="str">
        <f>IF($P794&lt;&gt;"",IF(MAXIFS(Investment!$M:$M,Investment!$H:$H,LEFT($P794,30)&amp;"*"),MAXIFS(Investment!$M:$M,Investment!$H:$H,LEFT($P794,30)&amp;"*"),),)</f>
        <v/>
      </c>
      <c r="O794" s="177" t="str">
        <f>IF($P794&lt;&gt;"",IF(MAXIFS(Investment!$AI:$AI,Investment!$H:$H,LEFT($P794,30)&amp;"*"),MAXIFS(Investment!$AI:$AI,Investment!$H:$H,LEFT($P794,30)&amp;"*"),),)</f>
        <v/>
      </c>
      <c r="P794" s="310"/>
      <c r="R794" s="52"/>
    </row>
    <row r="795">
      <c r="A795" s="165">
        <v>41033.0</v>
      </c>
      <c r="C795" s="48" t="s">
        <v>1091</v>
      </c>
      <c r="D795" s="55" t="s">
        <v>307</v>
      </c>
      <c r="E795" s="29"/>
      <c r="F795" s="169"/>
      <c r="G795" s="170">
        <v>96.91</v>
      </c>
      <c r="H795" s="321" t="str">
        <f t="shared" si="697"/>
        <v>BOUYGUES@DIVIDEND@@96.91</v>
      </c>
      <c r="I795" s="171" t="str">
        <f t="shared" ref="I795:J795" si="802">IFS(AND($B795&lt;&gt;"",$E795&lt;&gt;""),IF(INDEX(N:N,MATCH($C795,$P:$P,0),1)&lt;&gt;"",$E795*INDEX(N:N,MATCH($C795,$P:$P,0),1)+$G795,""),AND($B795&lt;&gt;"",$D795="COST",$G795&lt;0),$G795,TRUE,)</f>
        <v/>
      </c>
      <c r="J795" s="171" t="str">
        <f t="shared" si="802"/>
        <v/>
      </c>
      <c r="K795" s="309" t="str">
        <f t="shared" si="3"/>
        <v>BOUYGUES</v>
      </c>
      <c r="L795" s="143">
        <f t="shared" si="4"/>
        <v>0</v>
      </c>
      <c r="M795" s="143">
        <f t="shared" si="5"/>
        <v>1091.52</v>
      </c>
      <c r="N795" s="176" t="str">
        <f>IF($P795&lt;&gt;"",IF(MAXIFS(Investment!$M:$M,Investment!$H:$H,LEFT($P795,30)&amp;"*"),MAXIFS(Investment!$M:$M,Investment!$H:$H,LEFT($P795,30)&amp;"*"),),)</f>
        <v/>
      </c>
      <c r="O795" s="177" t="str">
        <f>IF($P795&lt;&gt;"",IF(MAXIFS(Investment!$AI:$AI,Investment!$H:$H,LEFT($P795,30)&amp;"*"),MAXIFS(Investment!$AI:$AI,Investment!$H:$H,LEFT($P795,30)&amp;"*"),),)</f>
        <v/>
      </c>
      <c r="P795" s="310"/>
      <c r="R795" s="52"/>
    </row>
    <row r="796">
      <c r="A796" s="165">
        <v>41025.0</v>
      </c>
      <c r="C796" s="308" t="s">
        <v>1101</v>
      </c>
      <c r="D796" s="55" t="s">
        <v>332</v>
      </c>
      <c r="E796" s="29">
        <v>33.0</v>
      </c>
      <c r="F796" s="169">
        <v>36.5</v>
      </c>
      <c r="G796" s="170">
        <v>-1205.42</v>
      </c>
      <c r="H796" s="321" t="str">
        <f t="shared" si="697"/>
        <v>TOTAL SA@BUY@33@-1205.42</v>
      </c>
      <c r="I796" s="171" t="str">
        <f t="shared" ref="I796:J796" si="803">IFS(AND($B796&lt;&gt;"",$E796&lt;&gt;""),IF(INDEX(N:N,MATCH($C796,$P:$P,0),1)&lt;&gt;"",$E796*INDEX(N:N,MATCH($C796,$P:$P,0),1)+$G796,""),AND($B796&lt;&gt;"",$D796="COST",$G796&lt;0),$G796,TRUE,)</f>
        <v/>
      </c>
      <c r="J796" s="171" t="str">
        <f t="shared" si="803"/>
        <v/>
      </c>
      <c r="K796" s="309" t="str">
        <f t="shared" si="3"/>
        <v>TOTAL SA</v>
      </c>
      <c r="L796" s="143">
        <f t="shared" si="4"/>
        <v>0</v>
      </c>
      <c r="M796" s="143">
        <f t="shared" si="5"/>
        <v>137.91</v>
      </c>
      <c r="N796" s="176" t="str">
        <f>IF($P796&lt;&gt;"",IF(MAXIFS(Investment!$M:$M,Investment!$H:$H,LEFT($P796,30)&amp;"*"),MAXIFS(Investment!$M:$M,Investment!$H:$H,LEFT($P796,30)&amp;"*"),),)</f>
        <v/>
      </c>
      <c r="O796" s="177" t="str">
        <f>IF($P796&lt;&gt;"",IF(MAXIFS(Investment!$AI:$AI,Investment!$H:$H,LEFT($P796,30)&amp;"*"),MAXIFS(Investment!$AI:$AI,Investment!$H:$H,LEFT($P796,30)&amp;"*"),),)</f>
        <v/>
      </c>
      <c r="P796" s="321"/>
      <c r="R796" s="236"/>
    </row>
    <row r="797">
      <c r="A797" s="165">
        <v>41025.0</v>
      </c>
      <c r="C797" s="48" t="s">
        <v>1104</v>
      </c>
      <c r="D797" s="55" t="s">
        <v>280</v>
      </c>
      <c r="E797" s="29">
        <v>-135.0</v>
      </c>
      <c r="F797" s="169">
        <v>9.03</v>
      </c>
      <c r="G797" s="170">
        <v>1218.49</v>
      </c>
      <c r="H797" s="321" t="str">
        <f t="shared" si="697"/>
        <v>PEUGEOT@SELL@-135@1218.49</v>
      </c>
      <c r="I797" s="171" t="str">
        <f t="shared" ref="I797:J797" si="804">IFS(AND($B797&lt;&gt;"",$E797&lt;&gt;""),IF(INDEX(N:N,MATCH($C797,$P:$P,0),1)&lt;&gt;"",$E797*INDEX(N:N,MATCH($C797,$P:$P,0),1)+$G797,""),AND($B797&lt;&gt;"",$D797="COST",$G797&lt;0),$G797,TRUE,)</f>
        <v/>
      </c>
      <c r="J797" s="171" t="str">
        <f t="shared" si="804"/>
        <v/>
      </c>
      <c r="K797" s="309" t="str">
        <f t="shared" si="3"/>
        <v>PEUGEOT</v>
      </c>
      <c r="L797" s="143">
        <f t="shared" si="4"/>
        <v>0</v>
      </c>
      <c r="M797" s="143">
        <f t="shared" si="5"/>
        <v>-532.01</v>
      </c>
      <c r="N797" s="176" t="str">
        <f>IF($P797&lt;&gt;"",IF(MAXIFS(Investment!$M:$M,Investment!$H:$H,LEFT($P797,30)&amp;"*"),MAXIFS(Investment!$M:$M,Investment!$H:$H,LEFT($P797,30)&amp;"*"),),)</f>
        <v/>
      </c>
      <c r="O797" s="177" t="str">
        <f>IF($P797&lt;&gt;"",IF(MAXIFS(Investment!$AI:$AI,Investment!$H:$H,LEFT($P797,30)&amp;"*"),MAXIFS(Investment!$AI:$AI,Investment!$H:$H,LEFT($P797,30)&amp;"*"),),)</f>
        <v/>
      </c>
      <c r="P797" s="310"/>
      <c r="R797" s="52"/>
    </row>
    <row r="798">
      <c r="A798" s="165">
        <v>41024.0</v>
      </c>
      <c r="B798" s="55"/>
      <c r="C798" s="308" t="s">
        <v>1099</v>
      </c>
      <c r="D798" s="330" t="s">
        <v>307</v>
      </c>
      <c r="E798" s="29">
        <v>2.0</v>
      </c>
      <c r="F798" s="169">
        <v>16.43</v>
      </c>
      <c r="G798" s="170">
        <v>0.0</v>
      </c>
      <c r="H798" s="321" t="str">
        <f t="shared" si="697"/>
        <v>GDF SUEZ@DIVIDEND@2@0</v>
      </c>
      <c r="I798" s="171" t="str">
        <f t="shared" ref="I798:J798" si="805">IFS(AND($B798&lt;&gt;"",$E798&lt;&gt;""),IF(INDEX(N:N,MATCH($C798,$P:$P,0),1)&lt;&gt;"",$E798*INDEX(N:N,MATCH($C798,$P:$P,0),1)+$G798,""),AND($B798&lt;&gt;"",$D798="COST",$G798&lt;0),$G798,TRUE,)</f>
        <v/>
      </c>
      <c r="J798" s="171" t="str">
        <f t="shared" si="805"/>
        <v/>
      </c>
      <c r="K798" s="309" t="str">
        <f t="shared" si="3"/>
        <v>GDF SUEZ</v>
      </c>
      <c r="L798" s="143">
        <f t="shared" si="4"/>
        <v>0</v>
      </c>
      <c r="M798" s="143">
        <f t="shared" si="5"/>
        <v>123.37</v>
      </c>
      <c r="N798" s="176" t="str">
        <f>IF($P798&lt;&gt;"",IF(MAXIFS(Investment!$M:$M,Investment!$H:$H,LEFT($P798,30)&amp;"*"),MAXIFS(Investment!$M:$M,Investment!$H:$H,LEFT($P798,30)&amp;"*"),),)</f>
        <v/>
      </c>
      <c r="O798" s="177" t="str">
        <f>IF($P798&lt;&gt;"",IF(MAXIFS(Investment!$AI:$AI,Investment!$H:$H,LEFT($P798,30)&amp;"*"),MAXIFS(Investment!$AI:$AI,Investment!$H:$H,LEFT($P798,30)&amp;"*"),),)</f>
        <v/>
      </c>
      <c r="P798" s="310"/>
      <c r="R798" s="52"/>
    </row>
    <row r="799">
      <c r="A799" s="165">
        <v>41024.0</v>
      </c>
      <c r="B799" s="55"/>
      <c r="C799" s="308" t="s">
        <v>1103</v>
      </c>
      <c r="D799" s="330" t="s">
        <v>307</v>
      </c>
      <c r="E799" s="29"/>
      <c r="F799" s="169"/>
      <c r="G799" s="170">
        <v>-32.86</v>
      </c>
      <c r="H799" s="321" t="str">
        <f t="shared" si="697"/>
        <v>VIVENDI@DIVIDEND@@-32.86</v>
      </c>
      <c r="I799" s="171" t="str">
        <f t="shared" ref="I799:J799" si="806">IFS(AND($B799&lt;&gt;"",$E799&lt;&gt;""),IF(INDEX(N:N,MATCH($C799,$P:$P,0),1)&lt;&gt;"",$E799*INDEX(N:N,MATCH($C799,$P:$P,0),1)+$G799,""),AND($B799&lt;&gt;"",$D799="COST",$G799&lt;0),$G799,TRUE,)</f>
        <v/>
      </c>
      <c r="J799" s="171" t="str">
        <f t="shared" si="806"/>
        <v/>
      </c>
      <c r="K799" s="309" t="str">
        <f t="shared" si="3"/>
        <v>VIVENDI</v>
      </c>
      <c r="L799" s="143">
        <f t="shared" si="4"/>
        <v>0</v>
      </c>
      <c r="M799" s="143">
        <f t="shared" si="5"/>
        <v>460.31</v>
      </c>
      <c r="N799" s="176" t="str">
        <f>IF($P799&lt;&gt;"",IF(MAXIFS(Investment!$M:$M,Investment!$H:$H,LEFT($P799,30)&amp;"*"),MAXIFS(Investment!$M:$M,Investment!$H:$H,LEFT($P799,30)&amp;"*"),),)</f>
        <v/>
      </c>
      <c r="O799" s="177" t="str">
        <f>IF($P799&lt;&gt;"",IF(MAXIFS(Investment!$AI:$AI,Investment!$H:$H,LEFT($P799,30)&amp;"*"),MAXIFS(Investment!$AI:$AI,Investment!$H:$H,LEFT($P799,30)&amp;"*"),),)</f>
        <v/>
      </c>
      <c r="P799" s="310"/>
      <c r="R799" s="52"/>
    </row>
    <row r="800">
      <c r="A800" s="165">
        <v>41004.0</v>
      </c>
      <c r="C800" s="48" t="s">
        <v>1091</v>
      </c>
      <c r="D800" s="55" t="s">
        <v>332</v>
      </c>
      <c r="E800" s="29">
        <v>70.0</v>
      </c>
      <c r="F800" s="169">
        <v>21.5</v>
      </c>
      <c r="G800" s="170">
        <v>-1506.35</v>
      </c>
      <c r="H800" s="321" t="str">
        <f t="shared" si="697"/>
        <v>BOUYGUES@BUY@70@-1506.35</v>
      </c>
      <c r="I800" s="171" t="str">
        <f t="shared" ref="I800:J800" si="807">IFS(AND($B800&lt;&gt;"",$E800&lt;&gt;""),IF(INDEX(N:N,MATCH($C800,$P:$P,0),1)&lt;&gt;"",$E800*INDEX(N:N,MATCH($C800,$P:$P,0),1)+$G800,""),AND($B800&lt;&gt;"",$D800="COST",$G800&lt;0),$G800,TRUE,)</f>
        <v/>
      </c>
      <c r="J800" s="171" t="str">
        <f t="shared" si="807"/>
        <v/>
      </c>
      <c r="K800" s="309" t="str">
        <f t="shared" si="3"/>
        <v>BOUYGUES</v>
      </c>
      <c r="L800" s="143">
        <f t="shared" si="4"/>
        <v>0</v>
      </c>
      <c r="M800" s="143">
        <f t="shared" si="5"/>
        <v>1091.52</v>
      </c>
      <c r="N800" s="176" t="str">
        <f>IF($P800&lt;&gt;"",IF(MAXIFS(Investment!$M:$M,Investment!$H:$H,LEFT($P800,30)&amp;"*"),MAXIFS(Investment!$M:$M,Investment!$H:$H,LEFT($P800,30)&amp;"*"),),)</f>
        <v/>
      </c>
      <c r="O800" s="177" t="str">
        <f>IF($P800&lt;&gt;"",IF(MAXIFS(Investment!$AI:$AI,Investment!$H:$H,LEFT($P800,30)&amp;"*"),MAXIFS(Investment!$AI:$AI,Investment!$H:$H,LEFT($P800,30)&amp;"*"),),)</f>
        <v/>
      </c>
      <c r="P800" s="310"/>
      <c r="R800" s="52"/>
    </row>
    <row r="801">
      <c r="A801" s="165">
        <v>41002.0</v>
      </c>
      <c r="B801" s="154"/>
      <c r="C801" s="329"/>
      <c r="D801" s="55" t="s">
        <v>299</v>
      </c>
      <c r="E801" s="154"/>
      <c r="F801" s="169"/>
      <c r="G801" s="170">
        <v>1520.0</v>
      </c>
      <c r="H801" s="321" t="str">
        <f t="shared" si="697"/>
        <v>@APPROVISIONNEMENT@@1520</v>
      </c>
      <c r="I801" s="171" t="str">
        <f t="shared" ref="I801:J801" si="808">IFS(AND($B801&lt;&gt;"",$E801&lt;&gt;""),IF(INDEX(N:N,MATCH($C801,$P:$P,0),1)&lt;&gt;"",$E801*INDEX(N:N,MATCH($C801,$P:$P,0),1)+$G801,""),AND($B801&lt;&gt;"",$D801="COST",$G801&lt;0),$G801,TRUE,)</f>
        <v/>
      </c>
      <c r="J801" s="171" t="str">
        <f t="shared" si="808"/>
        <v/>
      </c>
      <c r="K801" s="309" t="str">
        <f t="shared" si="3"/>
        <v/>
      </c>
      <c r="L801" s="143" t="str">
        <f t="shared" si="4"/>
        <v/>
      </c>
      <c r="M801" s="143" t="str">
        <f t="shared" si="5"/>
        <v/>
      </c>
      <c r="N801" s="176" t="str">
        <f>IF($P801&lt;&gt;"",IF(MAXIFS(Investment!$M:$M,Investment!$H:$H,LEFT($P801,30)&amp;"*"),MAXIFS(Investment!$M:$M,Investment!$H:$H,LEFT($P801,30)&amp;"*"),),)</f>
        <v/>
      </c>
      <c r="O801" s="177" t="str">
        <f>IF($P801&lt;&gt;"",IF(MAXIFS(Investment!$AI:$AI,Investment!$H:$H,LEFT($P801,30)&amp;"*"),MAXIFS(Investment!$AI:$AI,Investment!$H:$H,LEFT($P801,30)&amp;"*"),),)</f>
        <v/>
      </c>
      <c r="P801" s="48"/>
    </row>
    <row r="802">
      <c r="A802" s="165">
        <v>40987.0</v>
      </c>
      <c r="C802" s="48" t="s">
        <v>1099</v>
      </c>
      <c r="D802" s="55" t="s">
        <v>332</v>
      </c>
      <c r="E802" s="29">
        <v>72.0</v>
      </c>
      <c r="F802" s="169">
        <v>19.86</v>
      </c>
      <c r="G802" s="170">
        <v>-1430.85</v>
      </c>
      <c r="H802" s="321" t="str">
        <f t="shared" si="697"/>
        <v>GDF SUEZ@BUY@72@-1430.85</v>
      </c>
      <c r="I802" s="171" t="str">
        <f t="shared" ref="I802:J802" si="809">IFS(AND($B802&lt;&gt;"",$E802&lt;&gt;""),IF(INDEX(N:N,MATCH($C802,$P:$P,0),1)&lt;&gt;"",$E802*INDEX(N:N,MATCH($C802,$P:$P,0),1)+$G802,""),AND($B802&lt;&gt;"",$D802="COST",$G802&lt;0),$G802,TRUE,)</f>
        <v/>
      </c>
      <c r="J802" s="171" t="str">
        <f t="shared" si="809"/>
        <v/>
      </c>
      <c r="K802" s="309" t="str">
        <f t="shared" si="3"/>
        <v>GDF SUEZ</v>
      </c>
      <c r="L802" s="143">
        <f t="shared" si="4"/>
        <v>0</v>
      </c>
      <c r="M802" s="143">
        <f t="shared" si="5"/>
        <v>123.37</v>
      </c>
      <c r="N802" s="176" t="str">
        <f>IF($P802&lt;&gt;"",IF(MAXIFS(Investment!$M:$M,Investment!$H:$H,LEFT($P802,30)&amp;"*"),MAXIFS(Investment!$M:$M,Investment!$H:$H,LEFT($P802,30)&amp;"*"),),)</f>
        <v/>
      </c>
      <c r="O802" s="177" t="str">
        <f>IF($P802&lt;&gt;"",IF(MAXIFS(Investment!$AI:$AI,Investment!$H:$H,LEFT($P802,30)&amp;"*"),MAXIFS(Investment!$AI:$AI,Investment!$H:$H,LEFT($P802,30)&amp;"*"),),)</f>
        <v/>
      </c>
      <c r="P802" s="310"/>
      <c r="R802" s="52"/>
    </row>
    <row r="803">
      <c r="A803" s="165">
        <v>40983.0</v>
      </c>
      <c r="B803" s="337"/>
      <c r="C803" s="338" t="s">
        <v>1104</v>
      </c>
      <c r="D803" s="339" t="s">
        <v>332</v>
      </c>
      <c r="E803" s="29">
        <v>135.0</v>
      </c>
      <c r="F803" s="169">
        <v>12.96</v>
      </c>
      <c r="G803" s="170">
        <v>-1750.5</v>
      </c>
      <c r="H803" s="321"/>
      <c r="I803" s="171" t="str">
        <f t="shared" ref="I803:J803" si="810">IFS(AND($B803&lt;&gt;"",$E803&lt;&gt;""),IF(INDEX(N:N,MATCH($C803,$P:$P,0),1)&lt;&gt;"",$E803*INDEX(N:N,MATCH($C803,$P:$P,0),1)+$G803,""),AND($B803&lt;&gt;"",$D803="COST",$G803&lt;0),$G803,TRUE,)</f>
        <v/>
      </c>
      <c r="J803" s="171" t="str">
        <f t="shared" si="810"/>
        <v/>
      </c>
      <c r="K803" s="309" t="str">
        <f t="shared" si="3"/>
        <v>PEUGEOT</v>
      </c>
      <c r="L803" s="143">
        <f t="shared" si="4"/>
        <v>0</v>
      </c>
      <c r="M803" s="143">
        <f t="shared" si="5"/>
        <v>-532.01</v>
      </c>
      <c r="N803" s="176" t="str">
        <f>IF($P803&lt;&gt;"",IF(MAXIFS(Investment!$M:$M,Investment!$H:$H,LEFT($P803,30)&amp;"*"),MAXIFS(Investment!$M:$M,Investment!$H:$H,LEFT($P803,30)&amp;"*"),),)</f>
        <v/>
      </c>
      <c r="O803" s="177" t="str">
        <f>IF($P803&lt;&gt;"",IF(MAXIFS(Investment!$AI:$AI,Investment!$H:$H,LEFT($P803,30)&amp;"*"),MAXIFS(Investment!$AI:$AI,Investment!$H:$H,LEFT($P803,30)&amp;"*"),),)</f>
        <v/>
      </c>
      <c r="P803" s="310"/>
      <c r="R803" s="52"/>
    </row>
    <row r="804">
      <c r="A804" s="165">
        <v>40983.0</v>
      </c>
      <c r="C804" s="48" t="s">
        <v>1102</v>
      </c>
      <c r="D804" s="55" t="s">
        <v>332</v>
      </c>
      <c r="E804" s="29">
        <v>110.0</v>
      </c>
      <c r="F804" s="169">
        <v>11.24</v>
      </c>
      <c r="G804" s="170">
        <v>-1236.96</v>
      </c>
      <c r="H804" s="321" t="str">
        <f t="shared" ref="H804:H820" si="812">IF(D804&lt;&gt;"",C804 &amp; "@" &amp; D804 &amp; "@" &amp; E804 &amp; "@" &amp; G804,"")</f>
        <v>FRANCE TELECOM@BUY@110@-1236.96</v>
      </c>
      <c r="I804" s="171" t="str">
        <f t="shared" ref="I804:J804" si="811">IFS(AND($B804&lt;&gt;"",$E804&lt;&gt;""),IF(INDEX(N:N,MATCH($C804,$P:$P,0),1)&lt;&gt;"",$E804*INDEX(N:N,MATCH($C804,$P:$P,0),1)+$G804,""),AND($B804&lt;&gt;"",$D804="COST",$G804&lt;0),$G804,TRUE,)</f>
        <v/>
      </c>
      <c r="J804" s="171" t="str">
        <f t="shared" si="811"/>
        <v/>
      </c>
      <c r="K804" s="309" t="str">
        <f t="shared" si="3"/>
        <v>FRANCE TELECOM</v>
      </c>
      <c r="L804" s="143">
        <f t="shared" si="4"/>
        <v>0</v>
      </c>
      <c r="M804" s="143">
        <f t="shared" si="5"/>
        <v>1049.82</v>
      </c>
      <c r="N804" s="176" t="str">
        <f>IF($P804&lt;&gt;"",IF(MAXIFS(Investment!$M:$M,Investment!$H:$H,LEFT($P804,30)&amp;"*"),MAXIFS(Investment!$M:$M,Investment!$H:$H,LEFT($P804,30)&amp;"*"),),)</f>
        <v/>
      </c>
      <c r="O804" s="177" t="str">
        <f>IF($P804&lt;&gt;"",IF(MAXIFS(Investment!$AI:$AI,Investment!$H:$H,LEFT($P804,30)&amp;"*"),MAXIFS(Investment!$AI:$AI,Investment!$H:$H,LEFT($P804,30)&amp;"*"),),)</f>
        <v/>
      </c>
      <c r="P804" s="310"/>
      <c r="R804" s="52"/>
    </row>
    <row r="805">
      <c r="A805" s="165">
        <v>40983.0</v>
      </c>
      <c r="C805" s="48" t="s">
        <v>1105</v>
      </c>
      <c r="D805" s="55" t="s">
        <v>280</v>
      </c>
      <c r="E805" s="29">
        <v>-445.0</v>
      </c>
      <c r="F805" s="169">
        <v>5.09</v>
      </c>
      <c r="G805" s="170">
        <v>2262.12</v>
      </c>
      <c r="H805" s="321" t="str">
        <f t="shared" si="812"/>
        <v>CREDIT AGRICOLE@SELL@-445@2262.12</v>
      </c>
      <c r="I805" s="171" t="str">
        <f t="shared" ref="I805:J805" si="813">IFS(AND($B805&lt;&gt;"",$E805&lt;&gt;""),IF(INDEX(N:N,MATCH($C805,$P:$P,0),1)&lt;&gt;"",$E805*INDEX(N:N,MATCH($C805,$P:$P,0),1)+$G805,""),AND($B805&lt;&gt;"",$D805="COST",$G805&lt;0),$G805,TRUE,)</f>
        <v/>
      </c>
      <c r="J805" s="171" t="str">
        <f t="shared" si="813"/>
        <v/>
      </c>
      <c r="K805" s="309" t="str">
        <f t="shared" si="3"/>
        <v>CREDIT AGRICOLE</v>
      </c>
      <c r="L805" s="143">
        <f t="shared" si="4"/>
        <v>0</v>
      </c>
      <c r="M805" s="143">
        <f t="shared" si="5"/>
        <v>173.19</v>
      </c>
      <c r="N805" s="176" t="str">
        <f>IF($P805&lt;&gt;"",IF(MAXIFS(Investment!$M:$M,Investment!$H:$H,LEFT($P805,30)&amp;"*"),MAXIFS(Investment!$M:$M,Investment!$H:$H,LEFT($P805,30)&amp;"*"),),)</f>
        <v/>
      </c>
      <c r="O805" s="177" t="str">
        <f>IF($P805&lt;&gt;"",IF(MAXIFS(Investment!$AI:$AI,Investment!$H:$H,LEFT($P805,30)&amp;"*"),MAXIFS(Investment!$AI:$AI,Investment!$H:$H,LEFT($P805,30)&amp;"*"),),)</f>
        <v/>
      </c>
      <c r="P805" s="310"/>
      <c r="R805" s="52"/>
    </row>
    <row r="806">
      <c r="A806" s="165">
        <v>40980.0</v>
      </c>
      <c r="B806" s="154"/>
      <c r="C806" s="329"/>
      <c r="D806" s="55" t="s">
        <v>299</v>
      </c>
      <c r="E806" s="154"/>
      <c r="F806" s="169"/>
      <c r="G806" s="170">
        <v>1700.0</v>
      </c>
      <c r="H806" s="321" t="str">
        <f t="shared" si="812"/>
        <v>@APPROVISIONNEMENT@@1700</v>
      </c>
      <c r="I806" s="171" t="str">
        <f t="shared" ref="I806:J806" si="814">IFS(AND($B806&lt;&gt;"",$E806&lt;&gt;""),IF(INDEX(N:N,MATCH($C806,$P:$P,0),1)&lt;&gt;"",$E806*INDEX(N:N,MATCH($C806,$P:$P,0),1)+$G806,""),AND($B806&lt;&gt;"",$D806="COST",$G806&lt;0),$G806,TRUE,)</f>
        <v/>
      </c>
      <c r="J806" s="171" t="str">
        <f t="shared" si="814"/>
        <v/>
      </c>
      <c r="K806" s="309" t="str">
        <f t="shared" si="3"/>
        <v/>
      </c>
      <c r="L806" s="143" t="str">
        <f t="shared" si="4"/>
        <v/>
      </c>
      <c r="M806" s="143" t="str">
        <f t="shared" si="5"/>
        <v/>
      </c>
      <c r="N806" s="176" t="str">
        <f>IF($P806&lt;&gt;"",IF(MAXIFS(Investment!$M:$M,Investment!$H:$H,LEFT($P806,30)&amp;"*"),MAXIFS(Investment!$M:$M,Investment!$H:$H,LEFT($P806,30)&amp;"*"),),)</f>
        <v/>
      </c>
      <c r="O806" s="177" t="str">
        <f>IF($P806&lt;&gt;"",IF(MAXIFS(Investment!$AI:$AI,Investment!$H:$H,LEFT($P806,30)&amp;"*"),MAXIFS(Investment!$AI:$AI,Investment!$H:$H,LEFT($P806,30)&amp;"*"),),)</f>
        <v/>
      </c>
      <c r="P806" s="48"/>
    </row>
    <row r="807">
      <c r="A807" s="165">
        <v>40970.0</v>
      </c>
      <c r="C807" s="48" t="s">
        <v>1103</v>
      </c>
      <c r="D807" s="55" t="s">
        <v>332</v>
      </c>
      <c r="E807" s="29">
        <v>100.0</v>
      </c>
      <c r="F807" s="169">
        <v>14.2</v>
      </c>
      <c r="G807" s="170">
        <v>-1421.28</v>
      </c>
      <c r="H807" s="321" t="str">
        <f t="shared" si="812"/>
        <v>VIVENDI@BUY@100@-1421.28</v>
      </c>
      <c r="I807" s="171" t="str">
        <f t="shared" ref="I807:J807" si="815">IFS(AND($B807&lt;&gt;"",$E807&lt;&gt;""),IF(INDEX(N:N,MATCH($C807,$P:$P,0),1)&lt;&gt;"",$E807*INDEX(N:N,MATCH($C807,$P:$P,0),1)+$G807,""),AND($B807&lt;&gt;"",$D807="COST",$G807&lt;0),$G807,TRUE,)</f>
        <v/>
      </c>
      <c r="J807" s="171" t="str">
        <f t="shared" si="815"/>
        <v/>
      </c>
      <c r="K807" s="309" t="str">
        <f t="shared" si="3"/>
        <v>VIVENDI</v>
      </c>
      <c r="L807" s="143">
        <f t="shared" si="4"/>
        <v>0</v>
      </c>
      <c r="M807" s="143">
        <f t="shared" si="5"/>
        <v>460.31</v>
      </c>
      <c r="N807" s="176" t="str">
        <f>IF($P807&lt;&gt;"",IF(MAXIFS(Investment!$M:$M,Investment!$H:$H,LEFT($P807,30)&amp;"*"),MAXIFS(Investment!$M:$M,Investment!$H:$H,LEFT($P807,30)&amp;"*"),),)</f>
        <v/>
      </c>
      <c r="O807" s="177" t="str">
        <f>IF($P807&lt;&gt;"",IF(MAXIFS(Investment!$AI:$AI,Investment!$H:$H,LEFT($P807,30)&amp;"*"),MAXIFS(Investment!$AI:$AI,Investment!$H:$H,LEFT($P807,30)&amp;"*"),),)</f>
        <v/>
      </c>
      <c r="P807" s="310"/>
      <c r="R807" s="52"/>
    </row>
    <row r="808">
      <c r="A808" s="165">
        <v>40969.0</v>
      </c>
      <c r="C808" s="48" t="s">
        <v>1103</v>
      </c>
      <c r="D808" s="55" t="s">
        <v>332</v>
      </c>
      <c r="E808" s="29">
        <v>155.0</v>
      </c>
      <c r="F808" s="169">
        <v>14.67</v>
      </c>
      <c r="G808" s="170">
        <v>-2275.13</v>
      </c>
      <c r="H808" s="321" t="str">
        <f t="shared" si="812"/>
        <v>VIVENDI@BUY@155@-2275.13</v>
      </c>
      <c r="I808" s="171" t="str">
        <f t="shared" ref="I808:J808" si="816">IFS(AND($B808&lt;&gt;"",$E808&lt;&gt;""),IF(INDEX(N:N,MATCH($C808,$P:$P,0),1)&lt;&gt;"",$E808*INDEX(N:N,MATCH($C808,$P:$P,0),1)+$G808,""),AND($B808&lt;&gt;"",$D808="COST",$G808&lt;0),$G808,TRUE,)</f>
        <v/>
      </c>
      <c r="J808" s="171" t="str">
        <f t="shared" si="816"/>
        <v/>
      </c>
      <c r="K808" s="309" t="str">
        <f t="shared" si="3"/>
        <v>VIVENDI</v>
      </c>
      <c r="L808" s="143">
        <f t="shared" si="4"/>
        <v>0</v>
      </c>
      <c r="M808" s="143">
        <f t="shared" si="5"/>
        <v>460.31</v>
      </c>
      <c r="N808" s="176" t="str">
        <f>IF($P808&lt;&gt;"",IF(MAXIFS(Investment!$M:$M,Investment!$H:$H,LEFT($P808,30)&amp;"*"),MAXIFS(Investment!$M:$M,Investment!$H:$H,LEFT($P808,30)&amp;"*"),),)</f>
        <v/>
      </c>
      <c r="O808" s="177" t="str">
        <f>IF($P808&lt;&gt;"",IF(MAXIFS(Investment!$AI:$AI,Investment!$H:$H,LEFT($P808,30)&amp;"*"),MAXIFS(Investment!$AI:$AI,Investment!$H:$H,LEFT($P808,30)&amp;"*"),),)</f>
        <v/>
      </c>
      <c r="P808" s="310"/>
      <c r="R808" s="52"/>
    </row>
    <row r="809">
      <c r="A809" s="165">
        <v>40969.0</v>
      </c>
      <c r="C809" s="48" t="s">
        <v>1106</v>
      </c>
      <c r="D809" s="55" t="s">
        <v>280</v>
      </c>
      <c r="E809" s="29">
        <v>-250.0</v>
      </c>
      <c r="F809" s="169">
        <v>9.68</v>
      </c>
      <c r="G809" s="170">
        <v>2416.57</v>
      </c>
      <c r="H809" s="321" t="str">
        <f t="shared" si="812"/>
        <v>VEOLIA ENVIRON@SELL@-250@2416.57</v>
      </c>
      <c r="I809" s="171" t="str">
        <f t="shared" ref="I809:J809" si="817">IFS(AND($B809&lt;&gt;"",$E809&lt;&gt;""),IF(INDEX(N:N,MATCH($C809,$P:$P,0),1)&lt;&gt;"",$E809*INDEX(N:N,MATCH($C809,$P:$P,0),1)+$G809,""),AND($B809&lt;&gt;"",$D809="COST",$G809&lt;0),$G809,TRUE,)</f>
        <v/>
      </c>
      <c r="J809" s="171" t="str">
        <f t="shared" si="817"/>
        <v/>
      </c>
      <c r="K809" s="309" t="str">
        <f t="shared" si="3"/>
        <v>VEOLIA ENVIRON</v>
      </c>
      <c r="L809" s="143">
        <f t="shared" si="4"/>
        <v>0</v>
      </c>
      <c r="M809" s="143">
        <f t="shared" si="5"/>
        <v>401.01</v>
      </c>
      <c r="N809" s="176" t="str">
        <f>IF($P809&lt;&gt;"",IF(MAXIFS(Investment!$M:$M,Investment!$H:$H,LEFT($P809,30)&amp;"*"),MAXIFS(Investment!$M:$M,Investment!$H:$H,LEFT($P809,30)&amp;"*"),),)</f>
        <v/>
      </c>
      <c r="O809" s="177" t="str">
        <f>IF($P809&lt;&gt;"",IF(MAXIFS(Investment!$AI:$AI,Investment!$H:$H,LEFT($P809,30)&amp;"*"),MAXIFS(Investment!$AI:$AI,Investment!$H:$H,LEFT($P809,30)&amp;"*"),),)</f>
        <v/>
      </c>
      <c r="P809" s="310"/>
      <c r="R809" s="52"/>
    </row>
    <row r="810">
      <c r="A810" s="165">
        <v>40968.0</v>
      </c>
      <c r="B810" s="154"/>
      <c r="C810" s="329"/>
      <c r="D810" s="55" t="s">
        <v>299</v>
      </c>
      <c r="E810" s="154"/>
      <c r="F810" s="169"/>
      <c r="G810" s="170">
        <v>1280.0</v>
      </c>
      <c r="H810" s="321" t="str">
        <f t="shared" si="812"/>
        <v>@APPROVISIONNEMENT@@1280</v>
      </c>
      <c r="I810" s="171" t="str">
        <f t="shared" ref="I810:J810" si="818">IFS(AND($B810&lt;&gt;"",$E810&lt;&gt;""),IF(INDEX(N:N,MATCH($C810,$P:$P,0),1)&lt;&gt;"",$E810*INDEX(N:N,MATCH($C810,$P:$P,0),1)+$G810,""),AND($B810&lt;&gt;"",$D810="COST",$G810&lt;0),$G810,TRUE,)</f>
        <v/>
      </c>
      <c r="J810" s="171" t="str">
        <f t="shared" si="818"/>
        <v/>
      </c>
      <c r="K810" s="309" t="str">
        <f t="shared" si="3"/>
        <v/>
      </c>
      <c r="L810" s="143" t="str">
        <f t="shared" si="4"/>
        <v/>
      </c>
      <c r="M810" s="143" t="str">
        <f t="shared" si="5"/>
        <v/>
      </c>
      <c r="N810" s="176" t="str">
        <f>IF($P810&lt;&gt;"",IF(MAXIFS(Investment!$M:$M,Investment!$H:$H,LEFT($P810,30)&amp;"*"),MAXIFS(Investment!$M:$M,Investment!$H:$H,LEFT($P810,30)&amp;"*"),),)</f>
        <v/>
      </c>
      <c r="O810" s="177" t="str">
        <f>IF($P810&lt;&gt;"",IF(MAXIFS(Investment!$AI:$AI,Investment!$H:$H,LEFT($P810,30)&amp;"*"),MAXIFS(Investment!$AI:$AI,Investment!$H:$H,LEFT($P810,30)&amp;"*"),),)</f>
        <v/>
      </c>
      <c r="P810" s="48"/>
    </row>
    <row r="811">
      <c r="A811" s="165">
        <v>40967.0</v>
      </c>
      <c r="C811" s="48" t="s">
        <v>1105</v>
      </c>
      <c r="D811" s="55" t="s">
        <v>332</v>
      </c>
      <c r="E811" s="29">
        <v>445.0</v>
      </c>
      <c r="F811" s="169">
        <v>4.69</v>
      </c>
      <c r="G811" s="170">
        <v>-2088.93</v>
      </c>
      <c r="H811" s="321" t="str">
        <f t="shared" si="812"/>
        <v>CREDIT AGRICOLE@BUY@445@-2088.93</v>
      </c>
      <c r="I811" s="171" t="str">
        <f t="shared" ref="I811:J811" si="819">IFS(AND($B811&lt;&gt;"",$E811&lt;&gt;""),IF(INDEX(N:N,MATCH($C811,$P:$P,0),1)&lt;&gt;"",$E811*INDEX(N:N,MATCH($C811,$P:$P,0),1)+$G811,""),AND($B811&lt;&gt;"",$D811="COST",$G811&lt;0),$G811,TRUE,)</f>
        <v/>
      </c>
      <c r="J811" s="171" t="str">
        <f t="shared" si="819"/>
        <v/>
      </c>
      <c r="K811" s="309" t="str">
        <f t="shared" si="3"/>
        <v>CREDIT AGRICOLE</v>
      </c>
      <c r="L811" s="143">
        <f t="shared" si="4"/>
        <v>0</v>
      </c>
      <c r="M811" s="143">
        <f t="shared" si="5"/>
        <v>173.19</v>
      </c>
      <c r="N811" s="176" t="str">
        <f>IF($P811&lt;&gt;"",IF(MAXIFS(Investment!$M:$M,Investment!$H:$H,LEFT($P811,30)&amp;"*"),MAXIFS(Investment!$M:$M,Investment!$H:$H,LEFT($P811,30)&amp;"*"),),)</f>
        <v/>
      </c>
      <c r="O811" s="177" t="str">
        <f>IF($P811&lt;&gt;"",IF(MAXIFS(Investment!$AI:$AI,Investment!$H:$H,LEFT($P811,30)&amp;"*"),MAXIFS(Investment!$AI:$AI,Investment!$H:$H,LEFT($P811,30)&amp;"*"),),)</f>
        <v/>
      </c>
      <c r="P811" s="310"/>
      <c r="R811" s="52"/>
    </row>
    <row r="812">
      <c r="A812" s="165">
        <v>40967.0</v>
      </c>
      <c r="C812" s="48" t="s">
        <v>1102</v>
      </c>
      <c r="D812" s="55" t="s">
        <v>332</v>
      </c>
      <c r="E812" s="29">
        <v>100.0</v>
      </c>
      <c r="F812" s="169">
        <v>11.66</v>
      </c>
      <c r="G812" s="170">
        <v>-1166.55</v>
      </c>
      <c r="H812" s="321" t="str">
        <f t="shared" si="812"/>
        <v>FRANCE TELECOM@BUY@100@-1166.55</v>
      </c>
      <c r="I812" s="171" t="str">
        <f t="shared" ref="I812:J812" si="820">IFS(AND($B812&lt;&gt;"",$E812&lt;&gt;""),IF(INDEX(N:N,MATCH($C812,$P:$P,0),1)&lt;&gt;"",$E812*INDEX(N:N,MATCH($C812,$P:$P,0),1)+$G812,""),AND($B812&lt;&gt;"",$D812="COST",$G812&lt;0),$G812,TRUE,)</f>
        <v/>
      </c>
      <c r="J812" s="171" t="str">
        <f t="shared" si="820"/>
        <v/>
      </c>
      <c r="K812" s="309" t="str">
        <f t="shared" si="3"/>
        <v>FRANCE TELECOM</v>
      </c>
      <c r="L812" s="143">
        <f t="shared" si="4"/>
        <v>0</v>
      </c>
      <c r="M812" s="143">
        <f t="shared" si="5"/>
        <v>1049.82</v>
      </c>
      <c r="N812" s="176" t="str">
        <f>IF($P812&lt;&gt;"",IF(MAXIFS(Investment!$M:$M,Investment!$H:$H,LEFT($P812,30)&amp;"*"),MAXIFS(Investment!$M:$M,Investment!$H:$H,LEFT($P812,30)&amp;"*"),),)</f>
        <v/>
      </c>
      <c r="O812" s="177" t="str">
        <f>IF($P812&lt;&gt;"",IF(MAXIFS(Investment!$AI:$AI,Investment!$H:$H,LEFT($P812,30)&amp;"*"),MAXIFS(Investment!$AI:$AI,Investment!$H:$H,LEFT($P812,30)&amp;"*"),),)</f>
        <v/>
      </c>
      <c r="P812" s="310"/>
      <c r="R812" s="52"/>
    </row>
    <row r="813">
      <c r="A813" s="165">
        <v>40967.0</v>
      </c>
      <c r="C813" s="48" t="s">
        <v>1090</v>
      </c>
      <c r="D813" s="55" t="s">
        <v>332</v>
      </c>
      <c r="E813" s="29">
        <v>70.0</v>
      </c>
      <c r="F813" s="169">
        <v>18.58</v>
      </c>
      <c r="G813" s="170">
        <v>-1301.77</v>
      </c>
      <c r="H813" s="321" t="str">
        <f t="shared" si="812"/>
        <v>EDF@BUY@70@-1301.77</v>
      </c>
      <c r="I813" s="171" t="str">
        <f t="shared" ref="I813:J813" si="821">IFS(AND($B813&lt;&gt;"",$E813&lt;&gt;""),IF(INDEX(N:N,MATCH($C813,$P:$P,0),1)&lt;&gt;"",$E813*INDEX(N:N,MATCH($C813,$P:$P,0),1)+$G813,""),AND($B813&lt;&gt;"",$D813="COST",$G813&lt;0),$G813,TRUE,)</f>
        <v/>
      </c>
      <c r="J813" s="171" t="str">
        <f t="shared" si="821"/>
        <v/>
      </c>
      <c r="K813" s="309" t="str">
        <f t="shared" si="3"/>
        <v>EDF</v>
      </c>
      <c r="L813" s="143">
        <f t="shared" si="4"/>
        <v>0</v>
      </c>
      <c r="M813" s="143">
        <f t="shared" si="5"/>
        <v>1451.96</v>
      </c>
      <c r="N813" s="176" t="str">
        <f>IF($P813&lt;&gt;"",IF(MAXIFS(Investment!$M:$M,Investment!$H:$H,LEFT($P813,30)&amp;"*"),MAXIFS(Investment!$M:$M,Investment!$H:$H,LEFT($P813,30)&amp;"*"),),)</f>
        <v/>
      </c>
      <c r="O813" s="177" t="str">
        <f>IF($P813&lt;&gt;"",IF(MAXIFS(Investment!$AI:$AI,Investment!$H:$H,LEFT($P813,30)&amp;"*"),MAXIFS(Investment!$AI:$AI,Investment!$H:$H,LEFT($P813,30)&amp;"*"),),)</f>
        <v/>
      </c>
      <c r="P813" s="310"/>
      <c r="R813" s="52"/>
    </row>
    <row r="814">
      <c r="A814" s="165">
        <v>40963.0</v>
      </c>
      <c r="B814" s="154"/>
      <c r="C814" s="329"/>
      <c r="D814" s="55" t="s">
        <v>299</v>
      </c>
      <c r="E814" s="154"/>
      <c r="F814" s="169"/>
      <c r="G814" s="170">
        <v>5000.0</v>
      </c>
      <c r="H814" s="321" t="str">
        <f t="shared" si="812"/>
        <v>@APPROVISIONNEMENT@@5000</v>
      </c>
      <c r="I814" s="171" t="str">
        <f t="shared" ref="I814:J814" si="822">IFS(AND($B814&lt;&gt;"",$E814&lt;&gt;""),IF(INDEX(N:N,MATCH($C814,$P:$P,0),1)&lt;&gt;"",$E814*INDEX(N:N,MATCH($C814,$P:$P,0),1)+$G814,""),AND($B814&lt;&gt;"",$D814="COST",$G814&lt;0),$G814,TRUE,)</f>
        <v/>
      </c>
      <c r="J814" s="171" t="str">
        <f t="shared" si="822"/>
        <v/>
      </c>
      <c r="K814" s="309" t="str">
        <f t="shared" si="3"/>
        <v/>
      </c>
      <c r="L814" s="143" t="str">
        <f t="shared" si="4"/>
        <v/>
      </c>
      <c r="M814" s="143" t="str">
        <f t="shared" si="5"/>
        <v/>
      </c>
      <c r="N814" s="176" t="str">
        <f>IF($P814&lt;&gt;"",IF(MAXIFS(Investment!$M:$M,Investment!$H:$H,LEFT($P814,30)&amp;"*"),MAXIFS(Investment!$M:$M,Investment!$H:$H,LEFT($P814,30)&amp;"*"),),)</f>
        <v/>
      </c>
      <c r="O814" s="177" t="str">
        <f>IF($P814&lt;&gt;"",IF(MAXIFS(Investment!$AI:$AI,Investment!$H:$H,LEFT($P814,30)&amp;"*"),MAXIFS(Investment!$AI:$AI,Investment!$H:$H,LEFT($P814,30)&amp;"*"),),)</f>
        <v/>
      </c>
      <c r="P814" s="48"/>
      <c r="R814" s="52"/>
    </row>
    <row r="815">
      <c r="A815" s="165">
        <v>40917.0</v>
      </c>
      <c r="C815" s="48" t="s">
        <v>1106</v>
      </c>
      <c r="D815" s="55" t="s">
        <v>332</v>
      </c>
      <c r="E815" s="29">
        <v>250.0</v>
      </c>
      <c r="F815" s="169">
        <v>8.06</v>
      </c>
      <c r="G815" s="170">
        <v>-2015.56</v>
      </c>
      <c r="H815" s="321" t="str">
        <f t="shared" si="812"/>
        <v>VEOLIA ENVIRON@BUY@250@-2015.56</v>
      </c>
      <c r="I815" s="171" t="str">
        <f t="shared" ref="I815:J815" si="823">IFS(AND($B815&lt;&gt;"",$E815&lt;&gt;""),IF(INDEX(N:N,MATCH($C815,$P:$P,0),1)&lt;&gt;"",$E815*INDEX(N:N,MATCH($C815,$P:$P,0),1)+$G815,""),AND($B815&lt;&gt;"",$D815="COST",$G815&lt;0),$G815,TRUE,)</f>
        <v/>
      </c>
      <c r="J815" s="171" t="str">
        <f t="shared" si="823"/>
        <v/>
      </c>
      <c r="K815" s="309" t="str">
        <f t="shared" si="3"/>
        <v>VEOLIA ENVIRON</v>
      </c>
      <c r="L815" s="143">
        <f t="shared" si="4"/>
        <v>0</v>
      </c>
      <c r="M815" s="143">
        <f t="shared" si="5"/>
        <v>401.01</v>
      </c>
      <c r="N815" s="176" t="str">
        <f>IF($P815&lt;&gt;"",IF(MAXIFS(Investment!$M:$M,Investment!$H:$H,LEFT($P815,30)&amp;"*"),MAXIFS(Investment!$M:$M,Investment!$H:$H,LEFT($P815,30)&amp;"*"),),)</f>
        <v/>
      </c>
      <c r="O815" s="177" t="str">
        <f>IF($P815&lt;&gt;"",IF(MAXIFS(Investment!$AI:$AI,Investment!$H:$H,LEFT($P815,30)&amp;"*"),MAXIFS(Investment!$AI:$AI,Investment!$H:$H,LEFT($P815,30)&amp;"*"),),)</f>
        <v/>
      </c>
      <c r="P815" s="310"/>
      <c r="R815" s="52"/>
    </row>
    <row r="816">
      <c r="A816" s="165">
        <v>40914.0</v>
      </c>
      <c r="B816" s="154"/>
      <c r="C816" s="329"/>
      <c r="D816" s="55" t="s">
        <v>299</v>
      </c>
      <c r="E816" s="154"/>
      <c r="F816" s="169"/>
      <c r="G816" s="170">
        <v>2000.0</v>
      </c>
      <c r="H816" s="321" t="str">
        <f t="shared" si="812"/>
        <v>@APPROVISIONNEMENT@@2000</v>
      </c>
      <c r="I816" s="171" t="str">
        <f t="shared" ref="I816:J816" si="824">IFS(AND($B816&lt;&gt;"",$E816&lt;&gt;""),IF(INDEX(N:N,MATCH($C816,$P:$P,0),1)&lt;&gt;"",$E816*INDEX(N:N,MATCH($C816,$P:$P,0),1)+$G816,""),AND($B816&lt;&gt;"",$D816="COST",$G816&lt;0),$G816,TRUE,)</f>
        <v/>
      </c>
      <c r="J816" s="171" t="str">
        <f t="shared" si="824"/>
        <v/>
      </c>
      <c r="K816" s="309" t="str">
        <f t="shared" si="3"/>
        <v/>
      </c>
      <c r="L816" s="143" t="str">
        <f t="shared" si="4"/>
        <v/>
      </c>
      <c r="M816" s="143" t="str">
        <f t="shared" si="5"/>
        <v/>
      </c>
      <c r="N816" s="176" t="str">
        <f>IF($P816&lt;&gt;"",IF(MAXIFS(Investment!$M:$M,Investment!$H:$H,LEFT($P816,30)&amp;"*"),MAXIFS(Investment!$M:$M,Investment!$H:$H,LEFT($P816,30)&amp;"*"),),)</f>
        <v/>
      </c>
      <c r="O816" s="177" t="str">
        <f>IF($P816&lt;&gt;"",IF(MAXIFS(Investment!$AI:$AI,Investment!$H:$H,LEFT($P816,30)&amp;"*"),MAXIFS(Investment!$AI:$AI,Investment!$H:$H,LEFT($P816,30)&amp;"*"),),)</f>
        <v/>
      </c>
      <c r="P816" s="48"/>
    </row>
    <row r="817">
      <c r="A817" s="165">
        <v>40906.0</v>
      </c>
      <c r="C817" s="48" t="s">
        <v>1102</v>
      </c>
      <c r="D817" s="55" t="s">
        <v>332</v>
      </c>
      <c r="E817" s="29">
        <v>245.0</v>
      </c>
      <c r="F817" s="169">
        <v>11.815</v>
      </c>
      <c r="G817" s="170">
        <v>-2897.57</v>
      </c>
      <c r="H817" s="321" t="str">
        <f t="shared" si="812"/>
        <v>FRANCE TELECOM@BUY@245@-2897.57</v>
      </c>
      <c r="I817" s="171" t="str">
        <f t="shared" ref="I817:J817" si="825">IFS(AND($B817&lt;&gt;"",$E817&lt;&gt;""),IF(INDEX(N:N,MATCH($C817,$P:$P,0),1)&lt;&gt;"",$E817*INDEX(N:N,MATCH($C817,$P:$P,0),1)+$G817,""),AND($B817&lt;&gt;"",$D817="COST",$G817&lt;0),$G817,TRUE,)</f>
        <v/>
      </c>
      <c r="J817" s="171" t="str">
        <f t="shared" si="825"/>
        <v/>
      </c>
      <c r="K817" s="309" t="str">
        <f t="shared" si="3"/>
        <v>FRANCE TELECOM</v>
      </c>
      <c r="L817" s="143">
        <f t="shared" si="4"/>
        <v>0</v>
      </c>
      <c r="M817" s="143">
        <f t="shared" si="5"/>
        <v>1049.82</v>
      </c>
      <c r="N817" s="176" t="str">
        <f>IF($P817&lt;&gt;"",IF(MAXIFS(Investment!$M:$M,Investment!$H:$H,LEFT($P817,30)&amp;"*"),MAXIFS(Investment!$M:$M,Investment!$H:$H,LEFT($P817,30)&amp;"*"),),)</f>
        <v/>
      </c>
      <c r="O817" s="177" t="str">
        <f>IF($P817&lt;&gt;"",IF(MAXIFS(Investment!$AI:$AI,Investment!$H:$H,LEFT($P817,30)&amp;"*"),MAXIFS(Investment!$AI:$AI,Investment!$H:$H,LEFT($P817,30)&amp;"*"),),)</f>
        <v/>
      </c>
      <c r="P817" s="310"/>
      <c r="R817" s="52"/>
    </row>
    <row r="818">
      <c r="A818" s="165">
        <v>40828.0</v>
      </c>
      <c r="B818" s="229"/>
      <c r="C818" s="336" t="s">
        <v>1102</v>
      </c>
      <c r="D818" s="229" t="s">
        <v>280</v>
      </c>
      <c r="E818" s="29">
        <v>-555.0</v>
      </c>
      <c r="F818" s="169">
        <f t="shared" ref="F818:F819" si="827">-G818/E818</f>
        <v>17.61367568</v>
      </c>
      <c r="G818" s="170">
        <v>9775.59</v>
      </c>
      <c r="H818" s="321" t="str">
        <f t="shared" si="812"/>
        <v>FRANCE TELECOM@SELL@-555@9775.59</v>
      </c>
      <c r="I818" s="171" t="str">
        <f t="shared" ref="I818:J818" si="826">IFS(AND($B818&lt;&gt;"",$E818&lt;&gt;""),IF(INDEX(N:N,MATCH($C818,$P:$P,0),1)&lt;&gt;"",$E818*INDEX(N:N,MATCH($C818,$P:$P,0),1)+$G818,""),AND($B818&lt;&gt;"",$D818="COST",$G818&lt;0),$G818,TRUE,)</f>
        <v/>
      </c>
      <c r="J818" s="171" t="str">
        <f t="shared" si="826"/>
        <v/>
      </c>
      <c r="K818" s="309" t="str">
        <f t="shared" si="3"/>
        <v>FRANCE TELECOM</v>
      </c>
      <c r="L818" s="143">
        <f t="shared" si="4"/>
        <v>0</v>
      </c>
      <c r="M818" s="143">
        <f t="shared" si="5"/>
        <v>1049.82</v>
      </c>
      <c r="N818" s="176" t="str">
        <f>IF($P818&lt;&gt;"",IF(MAXIFS(Investment!$M:$M,Investment!$H:$H,LEFT($P818,30)&amp;"*"),MAXIFS(Investment!$M:$M,Investment!$H:$H,LEFT($P818,30)&amp;"*"),),)</f>
        <v/>
      </c>
      <c r="O818" s="177" t="str">
        <f>IF($P818&lt;&gt;"",IF(MAXIFS(Investment!$AI:$AI,Investment!$H:$H,LEFT($P818,30)&amp;"*"),MAXIFS(Investment!$AI:$AI,Investment!$H:$H,LEFT($P818,30)&amp;"*"),),)</f>
        <v/>
      </c>
      <c r="P818" s="310"/>
      <c r="R818" s="52"/>
    </row>
    <row r="819">
      <c r="A819" s="165">
        <v>40668.0</v>
      </c>
      <c r="B819" s="229"/>
      <c r="C819" s="336" t="s">
        <v>1102</v>
      </c>
      <c r="D819" s="229" t="s">
        <v>332</v>
      </c>
      <c r="E819" s="29">
        <v>555.0</v>
      </c>
      <c r="F819" s="169">
        <f t="shared" si="827"/>
        <v>15.58</v>
      </c>
      <c r="G819" s="170">
        <v>-8646.9</v>
      </c>
      <c r="H819" s="321" t="str">
        <f t="shared" si="812"/>
        <v>FRANCE TELECOM@BUY@555@-8646.9</v>
      </c>
      <c r="I819" s="171" t="str">
        <f t="shared" ref="I819:J819" si="828">IFS(AND($B819&lt;&gt;"",$E819&lt;&gt;""),IF(INDEX(N:N,MATCH($C819,$P:$P,0),1)&lt;&gt;"",$E819*INDEX(N:N,MATCH($C819,$P:$P,0),1)+$G819,""),AND($B819&lt;&gt;"",$D819="COST",$G819&lt;0),$G819,TRUE,)</f>
        <v/>
      </c>
      <c r="J819" s="171" t="str">
        <f t="shared" si="828"/>
        <v/>
      </c>
      <c r="K819" s="309" t="str">
        <f t="shared" si="3"/>
        <v>FRANCE TELECOM</v>
      </c>
      <c r="L819" s="143">
        <f t="shared" si="4"/>
        <v>0</v>
      </c>
      <c r="M819" s="143">
        <f t="shared" si="5"/>
        <v>1049.82</v>
      </c>
      <c r="N819" s="176" t="str">
        <f>IF($P819&lt;&gt;"",IF(MAXIFS(Investment!$M:$M,Investment!$H:$H,LEFT($P819,30)&amp;"*"),MAXIFS(Investment!$M:$M,Investment!$H:$H,LEFT($P819,30)&amp;"*"),),)</f>
        <v/>
      </c>
      <c r="O819" s="177" t="str">
        <f>IF($P819&lt;&gt;"",IF(MAXIFS(Investment!$AI:$AI,Investment!$H:$H,LEFT($P819,30)&amp;"*"),MAXIFS(Investment!$AI:$AI,Investment!$H:$H,LEFT($P819,30)&amp;"*"),),)</f>
        <v/>
      </c>
      <c r="P819" s="48"/>
      <c r="Q819" s="52"/>
    </row>
    <row r="820">
      <c r="A820" s="165">
        <v>40639.0</v>
      </c>
      <c r="B820" s="340"/>
      <c r="C820" s="341"/>
      <c r="D820" s="342" t="s">
        <v>299</v>
      </c>
      <c r="E820" s="342"/>
      <c r="F820" s="169"/>
      <c r="G820" s="170">
        <f>10000-133.41</f>
        <v>9866.59</v>
      </c>
      <c r="H820" s="321" t="str">
        <f t="shared" si="812"/>
        <v>@APPROVISIONNEMENT@@9866.59</v>
      </c>
      <c r="I820" s="171" t="str">
        <f t="shared" ref="I820:J820" si="829">IFS(AND($B820&lt;&gt;"",$E820&lt;&gt;""),IF(INDEX(N:N,MATCH($C820,$P:$P,0),1)&lt;&gt;"",$E820*INDEX(N:N,MATCH($C820,$P:$P,0),1)+$G820,""),AND($B820&lt;&gt;"",$D820="COST",$G820&lt;0),$G820,TRUE,)</f>
        <v/>
      </c>
      <c r="J820" s="171" t="str">
        <f t="shared" si="829"/>
        <v/>
      </c>
      <c r="K820" s="309" t="str">
        <f t="shared" si="3"/>
        <v/>
      </c>
      <c r="L820" s="143" t="str">
        <f t="shared" si="4"/>
        <v/>
      </c>
      <c r="M820" s="143" t="str">
        <f t="shared" si="5"/>
        <v/>
      </c>
      <c r="N820" s="176" t="str">
        <f>IF($P820&lt;&gt;"",IF(MAXIFS(Investment!$M:$M,Investment!$H:$H,LEFT($P820,30)&amp;"*"),MAXIFS(Investment!$M:$M,Investment!$H:$H,LEFT($P820,30)&amp;"*"),),)</f>
        <v/>
      </c>
      <c r="O820" s="177" t="str">
        <f>IF($P820&lt;&gt;"",IF(MAXIFS(Investment!$AI:$AI,Investment!$H:$H,LEFT($P820,30)&amp;"*"),MAXIFS(Investment!$AI:$AI,Investment!$H:$H,LEFT($P820,30)&amp;"*"),),)</f>
        <v/>
      </c>
      <c r="P820" s="310"/>
      <c r="R820" s="52"/>
    </row>
  </sheetData>
  <autoFilter ref="$A$1:$J$820">
    <sortState ref="A1:J820">
      <sortCondition descending="1" ref="A1:A820"/>
    </sortState>
  </autoFilter>
  <conditionalFormatting sqref="I2:J820">
    <cfRule type="expression" dxfId="9" priority="1">
      <formula>AND($D2&lt;&gt;"COST",I2&lt;&gt;"",I2&gt;0.01)</formula>
    </cfRule>
  </conditionalFormatting>
  <conditionalFormatting sqref="I2:J820">
    <cfRule type="expression" dxfId="18" priority="2">
      <formula>AND($D2&lt;&gt;"COST",I2&lt;&gt;"",I2&lt;0.01)</formula>
    </cfRule>
  </conditionalFormatting>
  <conditionalFormatting sqref="A1:G820">
    <cfRule type="expression" dxfId="8" priority="3">
      <formula>$H1="XXXXXX"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57"/>
    <col customWidth="1" min="2" max="2" width="7.43"/>
    <col customWidth="1" min="3" max="3" width="6.43"/>
    <col customWidth="1" min="4" max="4" width="7.14"/>
    <col customWidth="1" min="5" max="5" width="9.14"/>
    <col customWidth="1" min="6" max="6" width="14.29"/>
    <col customWidth="1" min="7" max="7" width="13.43"/>
    <col customWidth="1" min="8" max="8" width="11.57"/>
    <col customWidth="1" min="9" max="9" width="11.0"/>
    <col customWidth="1" min="10" max="10" width="12.0"/>
  </cols>
  <sheetData>
    <row r="1">
      <c r="A1" s="3" t="s">
        <v>2</v>
      </c>
      <c r="B1" s="3" t="s">
        <v>246</v>
      </c>
      <c r="C1" s="3" t="s">
        <v>336</v>
      </c>
      <c r="D1" s="3" t="s">
        <v>247</v>
      </c>
      <c r="E1" s="3" t="s">
        <v>337</v>
      </c>
      <c r="F1" s="3" t="s">
        <v>338</v>
      </c>
      <c r="G1" s="3" t="s">
        <v>339</v>
      </c>
      <c r="H1" s="3" t="s">
        <v>340</v>
      </c>
      <c r="I1" s="3" t="s">
        <v>279</v>
      </c>
      <c r="J1" s="3" t="s">
        <v>26</v>
      </c>
    </row>
    <row r="2">
      <c r="A2" s="220">
        <f>DateTime!$B$1-TIME(2,0,0)</f>
        <v>43781.41772</v>
      </c>
      <c r="B2" s="221">
        <f>Dashboard!$B$40</f>
        <v>0.2103360617</v>
      </c>
      <c r="C2" s="221">
        <f>Dashboard!$B$42</f>
        <v>0.04013646456</v>
      </c>
      <c r="D2" s="221">
        <f>Dashboard!$B$38</f>
        <v>0.2320916812</v>
      </c>
      <c r="E2" s="222">
        <f>$F2/Dashboard!$B$34</f>
        <v>0.003144385836</v>
      </c>
      <c r="F2" s="171">
        <f t="array" ref="F2">INDEX($H:$H,2)-INDEX($H:$H,3)</f>
        <v>2126.027</v>
      </c>
      <c r="G2" s="171">
        <f t="array" ref="G2">INDEX($I:$I,2)-INDEX($I:$I,3)</f>
        <v>8.337360784</v>
      </c>
      <c r="H2" s="171">
        <f>Dashboard!$B$37</f>
        <v>126893.513</v>
      </c>
      <c r="I2" s="171">
        <f>SUM(Historic!J:J)</f>
        <v>82114.07811</v>
      </c>
      <c r="J2" s="171">
        <f>Dashboard!$B$36</f>
        <v>337050.043</v>
      </c>
    </row>
    <row r="3">
      <c r="A3" s="165">
        <v>43780.97602091436</v>
      </c>
      <c r="B3" s="223">
        <v>0.20674576275588397</v>
      </c>
      <c r="C3" s="223">
        <v>0.040194451172403084</v>
      </c>
      <c r="D3" s="223">
        <v>0.22853281346519852</v>
      </c>
      <c r="E3" s="224">
        <v>-0.005631618127586351</v>
      </c>
      <c r="F3" s="170">
        <v>-3795.7570000000997</v>
      </c>
      <c r="G3" s="170">
        <v>308.9961529411812</v>
      </c>
      <c r="H3" s="170">
        <v>124767.48599999968</v>
      </c>
      <c r="I3" s="170">
        <v>82105.74075392172</v>
      </c>
      <c r="J3" s="170">
        <v>334924.01599999977</v>
      </c>
    </row>
    <row r="4">
      <c r="A4" s="165">
        <v>43777.97634146991</v>
      </c>
      <c r="B4" s="223">
        <v>0.21444011943997118</v>
      </c>
      <c r="C4" s="223">
        <v>0.04033397306908568</v>
      </c>
      <c r="D4" s="223">
        <v>0.2363027967730962</v>
      </c>
      <c r="E4" s="224">
        <v>9.124806085350455E-4</v>
      </c>
      <c r="F4" s="170">
        <v>618.4830000001239</v>
      </c>
      <c r="G4" s="170">
        <v>357.8567725489702</v>
      </c>
      <c r="H4" s="170">
        <v>128563.24299999978</v>
      </c>
      <c r="I4" s="170">
        <v>81796.74460098054</v>
      </c>
      <c r="J4" s="170">
        <v>338719.77299999987</v>
      </c>
    </row>
    <row r="5">
      <c r="A5" s="165">
        <v>43776.97632545139</v>
      </c>
      <c r="B5" s="223">
        <v>0.21376106847010803</v>
      </c>
      <c r="C5" s="223">
        <v>0.040420527684753974</v>
      </c>
      <c r="D5" s="223">
        <v>0.2356706619756321</v>
      </c>
      <c r="E5" s="224">
        <v>-0.003700046682924472</v>
      </c>
      <c r="F5" s="170">
        <v>-2505.6180000000168</v>
      </c>
      <c r="G5" s="170">
        <v>354.24736862753343</v>
      </c>
      <c r="H5" s="170">
        <v>127944.75999999966</v>
      </c>
      <c r="I5" s="170">
        <v>81438.88782843157</v>
      </c>
      <c r="J5" s="170">
        <v>338101.28999999975</v>
      </c>
    </row>
    <row r="6">
      <c r="A6" s="165">
        <v>43775.9764341088</v>
      </c>
      <c r="B6" s="223">
        <v>0.2188451891901731</v>
      </c>
      <c r="C6" s="223">
        <v>0.040507308442712775</v>
      </c>
      <c r="D6" s="223">
        <v>0.24080182144654697</v>
      </c>
      <c r="E6" s="224">
        <v>0.0015559729359892506</v>
      </c>
      <c r="F6" s="170">
        <v>1057.5810000000056</v>
      </c>
      <c r="G6" s="170">
        <v>386.6849490196619</v>
      </c>
      <c r="H6" s="170">
        <v>130450.37799999968</v>
      </c>
      <c r="I6" s="170">
        <v>81084.64045980404</v>
      </c>
      <c r="J6" s="170">
        <v>340606.90799999976</v>
      </c>
    </row>
    <row r="7">
      <c r="A7" s="165">
        <v>43774.97657550926</v>
      </c>
      <c r="B7" s="223">
        <v>0.21736375154045118</v>
      </c>
      <c r="C7" s="223">
        <v>0.04059523199162964</v>
      </c>
      <c r="D7" s="223">
        <v>0.23936804198751854</v>
      </c>
      <c r="E7" s="224">
        <v>-7.123284755591675E-5</v>
      </c>
      <c r="F7" s="170">
        <v>-48.34099999978207</v>
      </c>
      <c r="G7" s="170">
        <v>1039.04764652648</v>
      </c>
      <c r="H7" s="170">
        <v>129392.79699999967</v>
      </c>
      <c r="I7" s="170">
        <v>80697.95551078438</v>
      </c>
      <c r="J7" s="170">
        <v>339549.32699999976</v>
      </c>
    </row>
    <row r="8">
      <c r="A8" s="165">
        <v>43773.975490833334</v>
      </c>
      <c r="B8" s="223">
        <v>0.21792472070191454</v>
      </c>
      <c r="C8" s="223">
        <v>0.04068326169137042</v>
      </c>
      <c r="D8" s="223">
        <v>0.23997672687780106</v>
      </c>
      <c r="E8" s="224">
        <v>0.0013132619283655212</v>
      </c>
      <c r="F8" s="170">
        <v>899.6034999996773</v>
      </c>
      <c r="G8" s="170">
        <v>902.1403730468301</v>
      </c>
      <c r="H8" s="170">
        <v>129441.13799999945</v>
      </c>
      <c r="I8" s="170">
        <v>79658.9078642579</v>
      </c>
      <c r="J8" s="170">
        <v>339597.66799999954</v>
      </c>
    </row>
    <row r="9">
      <c r="A9" s="165">
        <v>43770.97550862269</v>
      </c>
      <c r="B9" s="223">
        <v>0.21701453437405246</v>
      </c>
      <c r="C9" s="223">
        <v>0.04082727092220804</v>
      </c>
      <c r="D9" s="223">
        <v>0.2391524694400624</v>
      </c>
      <c r="E9" s="224">
        <v>-2.6221956572981377E-5</v>
      </c>
      <c r="F9" s="170">
        <v>-18.178499999805354</v>
      </c>
      <c r="G9" s="170">
        <v>375.16026953121764</v>
      </c>
      <c r="H9" s="170">
        <v>128541.53449999978</v>
      </c>
      <c r="I9" s="170">
        <v>78756.76749121107</v>
      </c>
      <c r="J9" s="170">
        <v>338698.0644999998</v>
      </c>
    </row>
    <row r="10">
      <c r="A10" s="165">
        <v>43769.97554414352</v>
      </c>
      <c r="B10" s="223">
        <v>0.21683888276592692</v>
      </c>
      <c r="C10" s="223">
        <v>0.04090407468720752</v>
      </c>
      <c r="D10" s="223">
        <v>0.2397063736883537</v>
      </c>
      <c r="E10" s="224">
        <v>0.004280631214819146</v>
      </c>
      <c r="F10" s="170">
        <v>2966.0819999999367</v>
      </c>
      <c r="G10" s="170">
        <v>374.2793632812536</v>
      </c>
      <c r="H10" s="170">
        <v>128559.71299999958</v>
      </c>
      <c r="I10" s="170">
        <v>78381.60722167985</v>
      </c>
      <c r="J10" s="170">
        <v>339316.2429999996</v>
      </c>
    </row>
    <row r="11">
      <c r="A11" s="165">
        <v>43768.97557978009</v>
      </c>
      <c r="B11" s="223">
        <v>0.21177007237824208</v>
      </c>
      <c r="C11" s="223">
        <v>0.04099343017755904</v>
      </c>
      <c r="D11" s="223">
        <v>0.2346875176360281</v>
      </c>
      <c r="E11" s="224">
        <v>0.001012833636582102</v>
      </c>
      <c r="F11" s="170">
        <v>698.7960000000894</v>
      </c>
      <c r="G11" s="170">
        <v>373.1829023437749</v>
      </c>
      <c r="H11" s="170">
        <v>125593.63099999964</v>
      </c>
      <c r="I11" s="170">
        <v>78007.3278583986</v>
      </c>
      <c r="J11" s="170">
        <v>335650.1609999997</v>
      </c>
    </row>
    <row r="12">
      <c r="A12" s="165">
        <v>43767.97585758102</v>
      </c>
      <c r="B12" s="223">
        <v>0.21091958178683165</v>
      </c>
      <c r="C12" s="223">
        <v>0.04108211133518639</v>
      </c>
      <c r="D12" s="223">
        <v>0.23388660439314693</v>
      </c>
      <c r="E12" s="224">
        <v>0.0011897187252948467</v>
      </c>
      <c r="F12" s="170">
        <v>820.0050000001211</v>
      </c>
      <c r="G12" s="170">
        <v>364.02444140626176</v>
      </c>
      <c r="H12" s="170">
        <v>124894.83499999956</v>
      </c>
      <c r="I12" s="170">
        <v>77634.14495605482</v>
      </c>
      <c r="J12" s="170">
        <v>348951.3649999996</v>
      </c>
    </row>
    <row r="13">
      <c r="A13" s="165">
        <v>43766.975594930555</v>
      </c>
      <c r="B13" s="223">
        <v>0.20985857400140237</v>
      </c>
      <c r="C13" s="223">
        <v>0.041175228026111586</v>
      </c>
      <c r="D13" s="223">
        <v>0.23287765364850738</v>
      </c>
      <c r="E13" s="224">
        <v>-0.006714380178667791</v>
      </c>
      <c r="F13" s="170">
        <v>-4622.3320000001695</v>
      </c>
      <c r="G13" s="170">
        <v>524.7042539062095</v>
      </c>
      <c r="H13" s="170">
        <v>124074.82999999943</v>
      </c>
      <c r="I13" s="170">
        <v>77270.12051464856</v>
      </c>
      <c r="J13" s="170">
        <v>348131.35999999946</v>
      </c>
    </row>
    <row r="14">
      <c r="A14" s="165">
        <v>43763.975575335644</v>
      </c>
      <c r="B14" s="223">
        <v>0.21932946139015094</v>
      </c>
      <c r="C14" s="223">
        <v>0.041325050809699344</v>
      </c>
      <c r="D14" s="223">
        <v>0.24243229971337474</v>
      </c>
      <c r="E14" s="224">
        <v>5.961951378809905E-4</v>
      </c>
      <c r="F14" s="170">
        <v>414.64300000004005</v>
      </c>
      <c r="G14" s="170">
        <v>370.0838750000403</v>
      </c>
      <c r="H14" s="170">
        <v>128697.1619999996</v>
      </c>
      <c r="I14" s="170">
        <v>76745.41626074235</v>
      </c>
      <c r="J14" s="170">
        <v>352753.69199999963</v>
      </c>
    </row>
    <row r="15">
      <c r="A15" s="165">
        <v>43762.97557603009</v>
      </c>
      <c r="B15" s="223">
        <v>0.21905274617016135</v>
      </c>
      <c r="C15" s="223">
        <v>0.04142042065289448</v>
      </c>
      <c r="D15" s="223">
        <v>0.2422089011626954</v>
      </c>
      <c r="E15" s="224">
        <v>0.003931272107649968</v>
      </c>
      <c r="F15" s="170">
        <v>2732.499000000069</v>
      </c>
      <c r="G15" s="170">
        <v>378.59573437506333</v>
      </c>
      <c r="H15" s="170">
        <v>128282.51899999956</v>
      </c>
      <c r="I15" s="170">
        <v>76375.33238574231</v>
      </c>
      <c r="J15" s="170">
        <v>352339.0489999996</v>
      </c>
    </row>
    <row r="16">
      <c r="A16" s="165">
        <v>43761.97559453704</v>
      </c>
      <c r="B16" s="223">
        <v>0.21438785433201432</v>
      </c>
      <c r="C16" s="223">
        <v>0.04151614389684722</v>
      </c>
      <c r="D16" s="223">
        <v>0.23759752356313932</v>
      </c>
      <c r="E16" s="224">
        <v>0.004811542934251567</v>
      </c>
      <c r="F16" s="170">
        <v>3331.198999999906</v>
      </c>
      <c r="G16" s="170">
        <v>385.18052734370576</v>
      </c>
      <c r="H16" s="170">
        <v>125550.0199999995</v>
      </c>
      <c r="I16" s="170">
        <v>75996.73665136725</v>
      </c>
      <c r="J16" s="170">
        <v>349606.5499999995</v>
      </c>
    </row>
    <row r="17">
      <c r="A17" s="165">
        <v>43760.97556209491</v>
      </c>
      <c r="B17" s="223">
        <v>0.20856169150909412</v>
      </c>
      <c r="C17" s="223">
        <v>0.041611507821783585</v>
      </c>
      <c r="D17" s="223">
        <v>0.23182467410091692</v>
      </c>
      <c r="E17" s="224">
        <v>0.0029842046663897427</v>
      </c>
      <c r="F17" s="170">
        <v>2056.1279999999097</v>
      </c>
      <c r="G17" s="170">
        <v>359.2440195312374</v>
      </c>
      <c r="H17" s="170">
        <v>122218.82099999959</v>
      </c>
      <c r="I17" s="170">
        <v>75611.55612402354</v>
      </c>
      <c r="J17" s="170">
        <v>346275.3509999996</v>
      </c>
    </row>
    <row r="18">
      <c r="A18" s="165">
        <v>43759.975548159724</v>
      </c>
      <c r="B18" s="223">
        <v>0.20512794269329854</v>
      </c>
      <c r="C18" s="223">
        <v>0.04170631832051518</v>
      </c>
      <c r="D18" s="223">
        <v>0.22844392925197976</v>
      </c>
      <c r="E18" s="224">
        <v>-0.004246784179170036</v>
      </c>
      <c r="F18" s="170">
        <v>-2917.31799999997</v>
      </c>
      <c r="G18" s="170">
        <v>327.61699999999837</v>
      </c>
      <c r="H18" s="170">
        <v>120162.69299999968</v>
      </c>
      <c r="I18" s="170">
        <v>75252.3121044923</v>
      </c>
      <c r="J18" s="170">
        <v>344219.2229999997</v>
      </c>
    </row>
    <row r="19">
      <c r="A19" s="165">
        <v>43756.97555337963</v>
      </c>
      <c r="B19" s="223">
        <v>0.2114426380345028</v>
      </c>
      <c r="C19" s="223">
        <v>0.04185845880525744</v>
      </c>
      <c r="D19" s="223">
        <v>0.23484367898398453</v>
      </c>
      <c r="E19" s="224">
        <v>-0.001353725982084447</v>
      </c>
      <c r="F19" s="170">
        <v>-933.8880000000354</v>
      </c>
      <c r="G19" s="170">
        <v>347.5272460937849</v>
      </c>
      <c r="H19" s="170">
        <v>123080.01099999965</v>
      </c>
      <c r="I19" s="170">
        <v>74924.6951044923</v>
      </c>
      <c r="J19" s="170">
        <v>347136.5409999997</v>
      </c>
    </row>
    <row r="20">
      <c r="A20" s="165">
        <v>43755.97554508102</v>
      </c>
      <c r="B20" s="223">
        <v>0.21371456854184573</v>
      </c>
      <c r="C20" s="223">
        <v>0.0419546552245155</v>
      </c>
      <c r="D20" s="223">
        <v>0.23716938825935913</v>
      </c>
      <c r="E20" s="224">
        <v>-0.0045754352607341</v>
      </c>
      <c r="F20" s="170">
        <v>-3160.704999999958</v>
      </c>
      <c r="G20" s="170">
        <v>340.22657812500256</v>
      </c>
      <c r="H20" s="170">
        <v>124013.89899999968</v>
      </c>
      <c r="I20" s="170">
        <v>74577.16785839852</v>
      </c>
      <c r="J20" s="170">
        <v>348070.4289999997</v>
      </c>
    </row>
    <row r="21">
      <c r="A21" s="165">
        <v>43754.975569525464</v>
      </c>
      <c r="B21" s="223">
        <v>0.22026718158897457</v>
      </c>
      <c r="C21" s="223">
        <v>0.042051628562226974</v>
      </c>
      <c r="D21" s="223">
        <v>0.24377621441207195</v>
      </c>
      <c r="E21" s="224">
        <v>-0.0042628037420927405</v>
      </c>
      <c r="F21" s="170">
        <v>-2958.2129999998724</v>
      </c>
      <c r="G21" s="170">
        <v>364.1171562500822</v>
      </c>
      <c r="H21" s="170">
        <v>127174.60399999964</v>
      </c>
      <c r="I21" s="170">
        <v>74236.94128027352</v>
      </c>
      <c r="J21" s="170">
        <v>351231.13399999967</v>
      </c>
    </row>
    <row r="22">
      <c r="A22" s="165">
        <v>43753.97554811343</v>
      </c>
      <c r="B22" s="223">
        <v>0.22646669590469606</v>
      </c>
      <c r="C22" s="223">
        <v>0.04215009134219487</v>
      </c>
      <c r="D22" s="223">
        <v>0.25003077450854594</v>
      </c>
      <c r="E22" s="224">
        <v>-0.0018029460888534829</v>
      </c>
      <c r="F22" s="170">
        <v>-1256.5050000000047</v>
      </c>
      <c r="G22" s="170">
        <v>388.9077617186704</v>
      </c>
      <c r="H22" s="170">
        <v>130132.81699999952</v>
      </c>
      <c r="I22" s="170">
        <v>73872.82412402343</v>
      </c>
      <c r="J22" s="170">
        <v>354189.34699999954</v>
      </c>
    </row>
    <row r="23">
      <c r="A23" s="165">
        <v>43752.97553848379</v>
      </c>
      <c r="B23" s="223">
        <v>0.22942338964342274</v>
      </c>
      <c r="C23" s="223">
        <v>0.0422499979846053</v>
      </c>
      <c r="D23" s="223">
        <v>0.2530433212217227</v>
      </c>
      <c r="E23" s="224">
        <v>0.003203658997519249</v>
      </c>
      <c r="F23" s="170">
        <v>2236.7119999999413</v>
      </c>
      <c r="G23" s="170">
        <v>406.0349453125964</v>
      </c>
      <c r="H23" s="170">
        <v>131389.32199999952</v>
      </c>
      <c r="I23" s="170">
        <v>73483.91636230476</v>
      </c>
      <c r="J23" s="170">
        <v>355445.85199999955</v>
      </c>
    </row>
    <row r="24">
      <c r="A24" s="165">
        <v>43749.9755500926</v>
      </c>
      <c r="B24" s="223">
        <v>0.22596479970713831</v>
      </c>
      <c r="C24" s="223">
        <v>0.042409358963339146</v>
      </c>
      <c r="D24" s="223">
        <v>0.24967382230540272</v>
      </c>
      <c r="E24" s="224">
        <v>-0.004072929138303293</v>
      </c>
      <c r="F24" s="170">
        <v>-2834.5040000000736</v>
      </c>
      <c r="G24" s="170">
        <v>381.10113671876024</v>
      </c>
      <c r="H24" s="170">
        <v>129152.60999999958</v>
      </c>
      <c r="I24" s="170">
        <v>73077.88141699217</v>
      </c>
      <c r="J24" s="170">
        <v>353209.1399999996</v>
      </c>
    </row>
    <row r="25">
      <c r="A25" s="165">
        <v>43748.9755222338</v>
      </c>
      <c r="B25" s="223">
        <v>0.23199454100062353</v>
      </c>
      <c r="C25" s="223">
        <v>0.04251017017688993</v>
      </c>
      <c r="D25" s="223">
        <v>0.25575992227533717</v>
      </c>
      <c r="E25" s="224">
        <v>-0.007199504541090708</v>
      </c>
      <c r="F25" s="170">
        <v>-5030.811999999918</v>
      </c>
      <c r="G25" s="170">
        <v>366.2256718749413</v>
      </c>
      <c r="H25" s="170">
        <v>131987.11399999965</v>
      </c>
      <c r="I25" s="170">
        <v>72696.78028027341</v>
      </c>
      <c r="J25" s="170">
        <v>356043.6439999997</v>
      </c>
    </row>
    <row r="26">
      <c r="A26" s="165">
        <v>43747.975700625</v>
      </c>
      <c r="B26" s="223">
        <v>0.24392051144764165</v>
      </c>
      <c r="C26" s="223">
        <v>0.04101644620265388</v>
      </c>
      <c r="D26" s="223">
        <v>0.26614708163809564</v>
      </c>
      <c r="E26" s="224">
        <v>-0.0032791156243397756</v>
      </c>
      <c r="F26" s="170">
        <v>-2307.922000000137</v>
      </c>
      <c r="G26" s="170">
        <v>367.0771171875822</v>
      </c>
      <c r="H26" s="170">
        <v>137017.92599999957</v>
      </c>
      <c r="I26" s="170">
        <v>72330.55460839847</v>
      </c>
      <c r="J26" s="170">
        <v>361074.4559999996</v>
      </c>
    </row>
    <row r="27">
      <c r="A27" s="165">
        <v>43746.97558756944</v>
      </c>
      <c r="B27" s="223">
        <v>0.24901218797698638</v>
      </c>
      <c r="C27" s="223">
        <v>0.04111695664053633</v>
      </c>
      <c r="D27" s="223">
        <v>0.27129322418069346</v>
      </c>
      <c r="E27" s="224">
        <v>-6.477126153517734E-4</v>
      </c>
      <c r="F27" s="170">
        <v>-457.88899999985006</v>
      </c>
      <c r="G27" s="170">
        <v>398.30607031252293</v>
      </c>
      <c r="H27" s="170">
        <v>139325.8479999997</v>
      </c>
      <c r="I27" s="170">
        <v>71963.47749121088</v>
      </c>
      <c r="J27" s="170">
        <v>363382.37799999974</v>
      </c>
    </row>
    <row r="28">
      <c r="A28" s="165">
        <v>43745.97559436342</v>
      </c>
      <c r="B28" s="223">
        <v>0.2505223453627414</v>
      </c>
      <c r="C28" s="223">
        <v>0.04121872947564627</v>
      </c>
      <c r="D28" s="223">
        <v>0.27285853166531066</v>
      </c>
      <c r="E28" s="224">
        <v>-8.574489274439586E-4</v>
      </c>
      <c r="F28" s="170">
        <v>-606.5509999999776</v>
      </c>
      <c r="G28" s="170">
        <v>400.0424492187449</v>
      </c>
      <c r="H28" s="170">
        <v>139783.73699999956</v>
      </c>
      <c r="I28" s="170">
        <v>71565.17142089836</v>
      </c>
      <c r="J28" s="170">
        <v>363840.2669999996</v>
      </c>
    </row>
    <row r="29">
      <c r="A29" s="165">
        <v>43742.97556555556</v>
      </c>
      <c r="B29" s="223">
        <v>0.2519588471078738</v>
      </c>
      <c r="C29" s="223">
        <v>0.041378586387996796</v>
      </c>
      <c r="D29" s="223">
        <v>0.2751053300582839</v>
      </c>
      <c r="E29" s="224">
        <v>0.008399704789308694</v>
      </c>
      <c r="F29" s="170">
        <v>5943.862000000081</v>
      </c>
      <c r="G29" s="170">
        <v>416.0781132812408</v>
      </c>
      <c r="H29" s="170">
        <v>140390.28799999953</v>
      </c>
      <c r="I29" s="170">
        <v>71165.12897167962</v>
      </c>
      <c r="J29" s="170">
        <v>364446.81799999956</v>
      </c>
    </row>
    <row r="30">
      <c r="A30" s="165">
        <v>43741.975532303244</v>
      </c>
      <c r="B30" s="223">
        <v>0.24091189543767302</v>
      </c>
      <c r="C30" s="223">
        <v>0.04148198370033252</v>
      </c>
      <c r="D30" s="223">
        <v>0.2641162170997456</v>
      </c>
      <c r="E30" s="224">
        <v>-4.1204609782364725E-4</v>
      </c>
      <c r="F30" s="170">
        <v>-289.1260000000475</v>
      </c>
      <c r="G30" s="170">
        <v>341.9794960937579</v>
      </c>
      <c r="H30" s="170">
        <v>134446.42599999945</v>
      </c>
      <c r="I30" s="170">
        <v>70749.05085839838</v>
      </c>
      <c r="J30" s="170">
        <v>358502.9559999995</v>
      </c>
    </row>
    <row r="31">
      <c r="A31" s="165">
        <v>43740.97554385416</v>
      </c>
      <c r="B31" s="223">
        <v>0.2420739914179612</v>
      </c>
      <c r="C31" s="223">
        <v>0.04158404236757176</v>
      </c>
      <c r="D31" s="223">
        <v>0.2653354029762194</v>
      </c>
      <c r="E31" s="224">
        <v>-0.007373234908696199</v>
      </c>
      <c r="F31" s="170">
        <v>-5175.8099999999395</v>
      </c>
      <c r="G31" s="170">
        <v>328.68926953124173</v>
      </c>
      <c r="H31" s="170">
        <v>134735.5519999995</v>
      </c>
      <c r="I31" s="170">
        <v>70407.07136230462</v>
      </c>
      <c r="J31" s="170">
        <v>358792.08199999953</v>
      </c>
    </row>
    <row r="32">
      <c r="A32" s="165">
        <v>43739.97554255787</v>
      </c>
      <c r="B32" s="223">
        <v>0.2528897556098168</v>
      </c>
      <c r="C32" s="223">
        <v>0.041686741199890326</v>
      </c>
      <c r="D32" s="223">
        <v>0.27620861516180284</v>
      </c>
      <c r="E32" s="224">
        <v>8.37114054684198E-4</v>
      </c>
      <c r="F32" s="170">
        <v>591.9639999999199</v>
      </c>
      <c r="G32" s="170">
        <v>380.17816015623976</v>
      </c>
      <c r="H32" s="170">
        <v>139911.36199999944</v>
      </c>
      <c r="I32" s="170">
        <v>70078.38209277338</v>
      </c>
      <c r="J32" s="170">
        <v>363967.89199999947</v>
      </c>
    </row>
    <row r="33">
      <c r="A33" s="165">
        <v>43738.97553203704</v>
      </c>
      <c r="B33" s="223">
        <v>0.25255704184966443</v>
      </c>
      <c r="C33" s="223">
        <v>0.04158929890530371</v>
      </c>
      <c r="D33" s="223">
        <v>0.27573224738584085</v>
      </c>
      <c r="E33" s="224">
        <v>0.0015553233844267267</v>
      </c>
      <c r="F33" s="170">
        <v>1099.0829999999842</v>
      </c>
      <c r="G33" s="170">
        <v>392.2856640624814</v>
      </c>
      <c r="H33" s="170">
        <v>139319.39799999952</v>
      </c>
      <c r="I33" s="170">
        <v>69698.20393261714</v>
      </c>
      <c r="J33" s="170">
        <v>363775.91799999954</v>
      </c>
    </row>
    <row r="34">
      <c r="A34" s="165">
        <v>43735.97551157407</v>
      </c>
      <c r="B34" s="223">
        <v>0.2513638325144597</v>
      </c>
      <c r="C34" s="223">
        <v>0.041752417056109103</v>
      </c>
      <c r="D34" s="223">
        <v>0.2746299339486459</v>
      </c>
      <c r="E34" s="224">
        <v>-2.871436493305993E-4</v>
      </c>
      <c r="F34" s="170">
        <v>-202.59700000006706</v>
      </c>
      <c r="G34" s="170">
        <v>400.1107500000071</v>
      </c>
      <c r="H34" s="170">
        <v>138220.31499999954</v>
      </c>
      <c r="I34" s="170">
        <v>69305.91826855465</v>
      </c>
      <c r="J34" s="170">
        <v>362676.83499999956</v>
      </c>
    </row>
    <row r="35">
      <c r="A35" s="165">
        <v>43734.97554475695</v>
      </c>
      <c r="B35" s="223">
        <v>0.25240152987570236</v>
      </c>
      <c r="C35" s="223">
        <v>0.04185775025153698</v>
      </c>
      <c r="D35" s="223">
        <v>0.27572632714074113</v>
      </c>
      <c r="E35" s="224">
        <v>-6.607847603180277E-4</v>
      </c>
      <c r="F35" s="170">
        <v>-466.35699999995995</v>
      </c>
      <c r="G35" s="170">
        <v>414.4111093749816</v>
      </c>
      <c r="H35" s="170">
        <v>138422.9119999996</v>
      </c>
      <c r="I35" s="170">
        <v>68905.80751855465</v>
      </c>
      <c r="J35" s="170">
        <v>362879.4319999996</v>
      </c>
    </row>
    <row r="36">
      <c r="A36" s="165">
        <v>43733.97556247685</v>
      </c>
      <c r="B36" s="223">
        <v>0.2539718699553271</v>
      </c>
      <c r="C36" s="223">
        <v>0.04196372829072243</v>
      </c>
      <c r="D36" s="223">
        <v>0.2773557223837154</v>
      </c>
      <c r="E36" s="224">
        <v>-9.313498600827079E-4</v>
      </c>
      <c r="F36" s="170">
        <v>-657.7460000000428</v>
      </c>
      <c r="G36" s="170">
        <v>419.6250546875526</v>
      </c>
      <c r="H36" s="170">
        <v>138889.26899999956</v>
      </c>
      <c r="I36" s="170">
        <v>68491.39640917967</v>
      </c>
      <c r="J36" s="170">
        <v>363345.7889999996</v>
      </c>
    </row>
    <row r="37">
      <c r="A37" s="165">
        <v>43732.975553344906</v>
      </c>
      <c r="B37" s="223">
        <v>0.2559345617304279</v>
      </c>
      <c r="C37" s="223">
        <v>0.042070443935256045</v>
      </c>
      <c r="D37" s="223">
        <v>0.279377880345097</v>
      </c>
      <c r="E37" s="224">
        <v>7.813673665789259E-4</v>
      </c>
      <c r="F37" s="170">
        <v>552.3379999999888</v>
      </c>
      <c r="G37" s="170">
        <v>586.6423789062537</v>
      </c>
      <c r="H37" s="170">
        <v>139547.0149999996</v>
      </c>
      <c r="I37" s="170">
        <v>68071.77135449211</v>
      </c>
      <c r="J37" s="170">
        <v>364003.5349999996</v>
      </c>
    </row>
    <row r="38">
      <c r="A38" s="165">
        <v>43731.97550858796</v>
      </c>
      <c r="B38" s="223">
        <v>0.2554800558698531</v>
      </c>
      <c r="C38" s="223">
        <v>0.042177967954058926</v>
      </c>
      <c r="D38" s="223">
        <v>0.2789832911289818</v>
      </c>
      <c r="E38" s="224">
        <v>0.0059866795899895684</v>
      </c>
      <c r="F38" s="170">
        <v>4234.915999999968</v>
      </c>
      <c r="G38" s="170">
        <v>432.78105859368225</v>
      </c>
      <c r="H38" s="170">
        <v>138994.67699999962</v>
      </c>
      <c r="I38" s="170">
        <v>67485.12897558586</v>
      </c>
      <c r="J38" s="170">
        <v>363451.19699999964</v>
      </c>
    </row>
    <row r="39">
      <c r="A39" s="165">
        <v>43728.97557784722</v>
      </c>
      <c r="B39" s="223">
        <v>0.24795927312072363</v>
      </c>
      <c r="C39" s="223">
        <v>0.04234521337399908</v>
      </c>
      <c r="D39" s="223">
        <v>0.2715557041557879</v>
      </c>
      <c r="E39" s="224">
        <v>0.004760597043492785</v>
      </c>
      <c r="F39" s="170">
        <v>3347.437000000151</v>
      </c>
      <c r="G39" s="170">
        <v>584.4435742187488</v>
      </c>
      <c r="H39" s="170">
        <v>134759.76099999965</v>
      </c>
      <c r="I39" s="170">
        <v>67052.34791699218</v>
      </c>
      <c r="J39" s="170">
        <v>359216.28099999967</v>
      </c>
    </row>
    <row r="40">
      <c r="A40" s="165">
        <v>43727.97554646991</v>
      </c>
      <c r="B40" s="223">
        <v>0.2418251265106349</v>
      </c>
      <c r="C40" s="223">
        <v>0.04245252850390274</v>
      </c>
      <c r="D40" s="223">
        <v>0.26548135778898585</v>
      </c>
      <c r="E40" s="224">
        <v>0.0024537129419724326</v>
      </c>
      <c r="F40" s="170">
        <v>1721.7229999999981</v>
      </c>
      <c r="G40" s="170">
        <v>393.47895312508626</v>
      </c>
      <c r="H40" s="170">
        <v>131412.3239999995</v>
      </c>
      <c r="I40" s="170">
        <v>66467.90434277343</v>
      </c>
      <c r="J40" s="170">
        <v>355868.8439999995</v>
      </c>
    </row>
    <row r="41">
      <c r="A41" s="165">
        <v>43726.97556189814</v>
      </c>
      <c r="B41" s="223">
        <v>0.23894638267335394</v>
      </c>
      <c r="C41" s="223">
        <v>0.0425593085740709</v>
      </c>
      <c r="D41" s="223">
        <v>0.2626621160385025</v>
      </c>
      <c r="E41" s="224">
        <v>0.0011419855064617455</v>
      </c>
      <c r="F41" s="170">
        <v>799.3429999998771</v>
      </c>
      <c r="G41" s="170">
        <v>381.59346875002666</v>
      </c>
      <c r="H41" s="170">
        <v>129690.6009999995</v>
      </c>
      <c r="I41" s="170">
        <v>66074.42538964834</v>
      </c>
      <c r="J41" s="170">
        <v>354147.1209999995</v>
      </c>
    </row>
    <row r="42">
      <c r="A42" s="165">
        <v>43725.97554597222</v>
      </c>
      <c r="B42" s="223">
        <v>0.2379229348249329</v>
      </c>
      <c r="C42" s="223">
        <v>0.042666090830397345</v>
      </c>
      <c r="D42" s="223">
        <v>0.26169817149509306</v>
      </c>
      <c r="E42" s="224">
        <v>-0.0015667280491200267</v>
      </c>
      <c r="F42" s="170">
        <v>-1095.3929999999236</v>
      </c>
      <c r="G42" s="170">
        <v>364.6477539061598</v>
      </c>
      <c r="H42" s="170">
        <v>128891.25799999962</v>
      </c>
      <c r="I42" s="170">
        <v>65692.83192089832</v>
      </c>
      <c r="J42" s="170">
        <v>353347.77799999964</v>
      </c>
    </row>
    <row r="43">
      <c r="A43" s="165">
        <v>43724.97555986111</v>
      </c>
      <c r="B43" s="223">
        <v>0.24074977884408755</v>
      </c>
      <c r="C43" s="223">
        <v>0.04277318476718332</v>
      </c>
      <c r="D43" s="223">
        <v>0.2645846924999633</v>
      </c>
      <c r="E43" s="224">
        <v>0.010674414000381776</v>
      </c>
      <c r="F43" s="170">
        <v>7474.8120000000345</v>
      </c>
      <c r="G43" s="170">
        <v>728.3184179687523</v>
      </c>
      <c r="H43" s="170">
        <v>129986.65099999955</v>
      </c>
      <c r="I43" s="170">
        <v>65328.184166992156</v>
      </c>
      <c r="J43" s="170">
        <v>354443.17099999957</v>
      </c>
    </row>
    <row r="44">
      <c r="A44" s="165">
        <v>43721.9755475</v>
      </c>
      <c r="B44" s="223">
        <v>0.22642341185970785</v>
      </c>
      <c r="C44" s="223">
        <v>0.04294167787132735</v>
      </c>
      <c r="D44" s="223">
        <v>0.2503522165506034</v>
      </c>
      <c r="E44" s="224">
        <v>-0.009783539079273604</v>
      </c>
      <c r="F44" s="170">
        <v>-6919.137000000221</v>
      </c>
      <c r="G44" s="170">
        <v>743.5549335936812</v>
      </c>
      <c r="H44" s="170">
        <v>122511.83899999951</v>
      </c>
      <c r="I44" s="170">
        <v>64599.8657490234</v>
      </c>
      <c r="J44" s="170">
        <v>346968.35899999953</v>
      </c>
    </row>
    <row r="45">
      <c r="A45" s="165">
        <v>43720.97553098379</v>
      </c>
      <c r="B45" s="223">
        <v>0.24115796163531156</v>
      </c>
      <c r="C45" s="223">
        <v>0.04304794814242084</v>
      </c>
      <c r="D45" s="223">
        <v>0.26514598433275693</v>
      </c>
      <c r="E45" s="224">
        <v>-0.005322874632042989</v>
      </c>
      <c r="F45" s="170">
        <v>-3828.0149999998976</v>
      </c>
      <c r="G45" s="170">
        <v>342.23477734369953</v>
      </c>
      <c r="H45" s="170">
        <v>129430.97599999973</v>
      </c>
      <c r="I45" s="170">
        <v>63856.31081542972</v>
      </c>
      <c r="J45" s="170">
        <v>353887.49599999975</v>
      </c>
    </row>
    <row r="46">
      <c r="A46" s="165">
        <v>43719.97548741898</v>
      </c>
      <c r="B46" s="223">
        <v>0.2496317142799464</v>
      </c>
      <c r="C46" s="223">
        <v>0.04315718762177766</v>
      </c>
      <c r="D46" s="223">
        <v>0.27368060954445583</v>
      </c>
      <c r="E46" s="224">
        <v>0.0030282357095258302</v>
      </c>
      <c r="F46" s="170">
        <v>2189.3874999999534</v>
      </c>
      <c r="G46" s="170">
        <v>377.35740039073426</v>
      </c>
      <c r="H46" s="170">
        <v>133258.99099999963</v>
      </c>
      <c r="I46" s="170">
        <v>63514.07603808602</v>
      </c>
      <c r="J46" s="170">
        <v>357715.51099999965</v>
      </c>
    </row>
    <row r="47">
      <c r="A47" s="165">
        <v>43718.975614641204</v>
      </c>
      <c r="B47" s="223">
        <v>0.2457667462868896</v>
      </c>
      <c r="C47" s="223">
        <v>0.043268363608210784</v>
      </c>
      <c r="D47" s="223">
        <v>0.2698775932169498</v>
      </c>
      <c r="E47" s="224">
        <v>-0.004639298701676775</v>
      </c>
      <c r="F47" s="170">
        <v>-3344.014499999932</v>
      </c>
      <c r="G47" s="170">
        <v>347.9440859374299</v>
      </c>
      <c r="H47" s="170">
        <v>131069.60349999968</v>
      </c>
      <c r="I47" s="170">
        <v>63136.71863769529</v>
      </c>
      <c r="J47" s="170">
        <v>355526.1234999997</v>
      </c>
    </row>
    <row r="48">
      <c r="A48" s="165">
        <v>43717.9755515625</v>
      </c>
      <c r="B48" s="223">
        <v>0.25330056982828536</v>
      </c>
      <c r="C48" s="223">
        <v>0.0433793965280065</v>
      </c>
      <c r="D48" s="223">
        <v>0.2774732680582555</v>
      </c>
      <c r="E48" s="224">
        <v>-0.005142024183479306</v>
      </c>
      <c r="F48" s="170">
        <v>-3723.5749999999534</v>
      </c>
      <c r="G48" s="170">
        <v>356.91529687504226</v>
      </c>
      <c r="H48" s="170">
        <v>134413.6179999996</v>
      </c>
      <c r="I48" s="170">
        <v>62788.77455175786</v>
      </c>
      <c r="J48" s="170">
        <v>359270.14799999964</v>
      </c>
    </row>
    <row r="49">
      <c r="A49" s="165">
        <v>43714.97551276621</v>
      </c>
      <c r="B49" s="223">
        <v>0.2620375465092242</v>
      </c>
      <c r="C49" s="223">
        <v>0.043553971594388445</v>
      </c>
      <c r="D49" s="223">
        <v>0.28630752480152544</v>
      </c>
      <c r="E49" s="224">
        <v>0.0024780162018448724</v>
      </c>
      <c r="F49" s="170">
        <v>1803.6720000000205</v>
      </c>
      <c r="G49" s="170">
        <v>666.5376562499878</v>
      </c>
      <c r="H49" s="170">
        <v>138137.19299999956</v>
      </c>
      <c r="I49" s="170">
        <v>62431.85925488282</v>
      </c>
      <c r="J49" s="170">
        <v>362993.7229999996</v>
      </c>
    </row>
    <row r="50">
      <c r="A50" s="165">
        <v>43713.975543761575</v>
      </c>
      <c r="B50" s="223">
        <v>0.2589820185673016</v>
      </c>
      <c r="C50" s="223">
        <v>0.04366910751063243</v>
      </c>
      <c r="D50" s="223">
        <v>0.283316155100186</v>
      </c>
      <c r="E50" s="224">
        <v>-0.00574094409818701</v>
      </c>
      <c r="F50" s="170">
        <v>-4187.198000000091</v>
      </c>
      <c r="G50" s="170">
        <v>365.36322656248376</v>
      </c>
      <c r="H50" s="170">
        <v>136333.52099999954</v>
      </c>
      <c r="I50" s="170">
        <v>61765.32159863283</v>
      </c>
      <c r="J50" s="170">
        <v>361190.05099999957</v>
      </c>
    </row>
    <row r="51">
      <c r="A51" s="165">
        <v>43712.97553344908</v>
      </c>
      <c r="B51" s="223">
        <v>0.2683893566280036</v>
      </c>
      <c r="C51" s="223">
        <v>0.04378426222331088</v>
      </c>
      <c r="D51" s="223">
        <v>0.2927876618755805</v>
      </c>
      <c r="E51" s="224">
        <v>-0.00426873095516171</v>
      </c>
      <c r="F51" s="170">
        <v>-3131.30299999984</v>
      </c>
      <c r="G51" s="170">
        <v>369.4322382811806</v>
      </c>
      <c r="H51" s="170">
        <v>140520.71899999963</v>
      </c>
      <c r="I51" s="170">
        <v>61399.958372070345</v>
      </c>
      <c r="J51" s="170">
        <v>365377.24899999966</v>
      </c>
    </row>
    <row r="52">
      <c r="A52" s="165">
        <v>43711.97646127315</v>
      </c>
      <c r="B52" s="223">
        <v>0.2756503171187718</v>
      </c>
      <c r="C52" s="223">
        <v>0.04390157823999381</v>
      </c>
      <c r="D52" s="223">
        <v>0.3001139954442565</v>
      </c>
      <c r="E52" s="224">
        <v>0.0042056221814948174</v>
      </c>
      <c r="F52" s="170">
        <v>3098.1789999999164</v>
      </c>
      <c r="G52" s="170">
        <v>430.3804648438818</v>
      </c>
      <c r="H52" s="170">
        <v>143652.02199999947</v>
      </c>
      <c r="I52" s="170">
        <v>61030.526133789164</v>
      </c>
      <c r="J52" s="170">
        <v>368608.5519999995</v>
      </c>
    </row>
    <row r="53">
      <c r="A53" s="165">
        <v>43710.975554212964</v>
      </c>
      <c r="B53" s="223">
        <v>0.2697573918220586</v>
      </c>
      <c r="C53" s="223">
        <v>0.04402074235890288</v>
      </c>
      <c r="D53" s="223">
        <v>0.2944384065869255</v>
      </c>
      <c r="E53" s="224">
        <v>0.001012913499085814</v>
      </c>
      <c r="F53" s="170">
        <v>741.3590000000258</v>
      </c>
      <c r="G53" s="170">
        <v>395.3216757811606</v>
      </c>
      <c r="H53" s="170">
        <v>140553.84299999956</v>
      </c>
      <c r="I53" s="170">
        <v>60600.14566894528</v>
      </c>
      <c r="J53" s="170">
        <v>365510.3729999996</v>
      </c>
    </row>
    <row r="54">
      <c r="A54" s="165">
        <v>43707.97556122685</v>
      </c>
      <c r="B54" s="223">
        <v>0.2684918383293102</v>
      </c>
      <c r="C54" s="223">
        <v>0.04420231769627719</v>
      </c>
      <c r="D54" s="223">
        <v>0.2940934591078574</v>
      </c>
      <c r="E54" s="224">
        <v>0.005842697540116182</v>
      </c>
      <c r="F54" s="170">
        <v>4260.748000000021</v>
      </c>
      <c r="G54" s="170">
        <v>399.2649570312642</v>
      </c>
      <c r="H54" s="170">
        <v>139812.48399999953</v>
      </c>
      <c r="I54" s="170">
        <v>60204.82399316412</v>
      </c>
      <c r="J54" s="170">
        <v>364769.01399999956</v>
      </c>
    </row>
    <row r="55">
      <c r="A55" s="165">
        <v>43706.975554351855</v>
      </c>
      <c r="B55" s="223">
        <v>0.26023036726276977</v>
      </c>
      <c r="C55" s="223">
        <v>0.044321701235352</v>
      </c>
      <c r="D55" s="223">
        <v>0.28590113401044004</v>
      </c>
      <c r="E55" s="224">
        <v>0.0023351996670000525</v>
      </c>
      <c r="F55" s="170">
        <v>1692.9790000000503</v>
      </c>
      <c r="G55" s="170">
        <v>385.00080859372974</v>
      </c>
      <c r="H55" s="170">
        <v>135551.7359999995</v>
      </c>
      <c r="I55" s="170">
        <v>59805.55903613286</v>
      </c>
      <c r="J55" s="170">
        <v>360508.26599999954</v>
      </c>
    </row>
    <row r="56">
      <c r="A56" s="165">
        <v>43705.97555333334</v>
      </c>
      <c r="B56" s="223">
        <v>0.25734591846200167</v>
      </c>
      <c r="C56" s="223">
        <v>0.044440220479072375</v>
      </c>
      <c r="D56" s="223">
        <v>0.2830853305859967</v>
      </c>
      <c r="E56" s="224">
        <v>0.004602698769467963</v>
      </c>
      <c r="F56" s="170">
        <v>3329.0839999999152</v>
      </c>
      <c r="G56" s="170">
        <v>388.8933476562961</v>
      </c>
      <c r="H56" s="170">
        <v>133858.75699999946</v>
      </c>
      <c r="I56" s="170">
        <v>59420.55822753913</v>
      </c>
      <c r="J56" s="170">
        <v>358815.2869999995</v>
      </c>
    </row>
    <row r="57">
      <c r="A57" s="165">
        <v>43704.975556840276</v>
      </c>
      <c r="B57" s="223">
        <v>0.2509734586046165</v>
      </c>
      <c r="C57" s="223">
        <v>0.04455880340124135</v>
      </c>
      <c r="D57" s="223">
        <v>0.2767815529869728</v>
      </c>
      <c r="E57" s="224">
        <v>0.00661247959077227</v>
      </c>
      <c r="F57" s="170">
        <v>4760.724000000046</v>
      </c>
      <c r="G57" s="170">
        <v>367.90328515624424</v>
      </c>
      <c r="H57" s="170">
        <v>130529.67299999954</v>
      </c>
      <c r="I57" s="170">
        <v>59031.66487988283</v>
      </c>
      <c r="J57" s="170">
        <v>355486.2029999996</v>
      </c>
    </row>
    <row r="58">
      <c r="A58" s="165">
        <v>43703.97555722222</v>
      </c>
      <c r="B58" s="223">
        <v>0.2415166623968403</v>
      </c>
      <c r="C58" s="223">
        <v>0.044676837870987966</v>
      </c>
      <c r="D58" s="223">
        <v>0.2673931213784019</v>
      </c>
      <c r="E58" s="224">
        <v>0.005408529507068813</v>
      </c>
      <c r="F58" s="170">
        <v>3868.1790000000037</v>
      </c>
      <c r="G58" s="170">
        <v>512.7585976562914</v>
      </c>
      <c r="H58" s="170">
        <v>125768.9489999995</v>
      </c>
      <c r="I58" s="170">
        <v>58663.76159472659</v>
      </c>
      <c r="J58" s="170">
        <v>350725.4789999995</v>
      </c>
    </row>
    <row r="59">
      <c r="A59" s="165">
        <v>43700.97553440972</v>
      </c>
      <c r="B59" s="223">
        <v>0.23423790037565864</v>
      </c>
      <c r="C59" s="223">
        <v>0.04485785713122259</v>
      </c>
      <c r="D59" s="223">
        <v>0.2602192042317805</v>
      </c>
      <c r="E59" s="224">
        <v>-0.00549802537559905</v>
      </c>
      <c r="F59" s="170">
        <v>-3916.703000000096</v>
      </c>
      <c r="G59" s="170">
        <v>292.1078867186661</v>
      </c>
      <c r="H59" s="170">
        <v>121900.7699999995</v>
      </c>
      <c r="I59" s="170">
        <v>58151.002997070296</v>
      </c>
      <c r="J59" s="170">
        <v>347857.2999999995</v>
      </c>
    </row>
    <row r="60">
      <c r="A60" s="165">
        <v>43699.97562136574</v>
      </c>
      <c r="B60" s="223">
        <v>0.24323015123133984</v>
      </c>
      <c r="C60" s="223">
        <v>0.044974595579244145</v>
      </c>
      <c r="D60" s="223">
        <v>0.2692790690414869</v>
      </c>
      <c r="E60" s="224">
        <v>-0.003043327012059811</v>
      </c>
      <c r="F60" s="170">
        <v>-2179.935999999987</v>
      </c>
      <c r="G60" s="170">
        <v>316.89430078132864</v>
      </c>
      <c r="H60" s="170">
        <v>125817.47299999959</v>
      </c>
      <c r="I60" s="170">
        <v>57858.89511035163</v>
      </c>
      <c r="J60" s="170">
        <v>351774.0029999996</v>
      </c>
    </row>
    <row r="61">
      <c r="A61" s="165">
        <v>43698.97559077546</v>
      </c>
      <c r="B61" s="223">
        <v>0.2485509886965385</v>
      </c>
      <c r="C61" s="223">
        <v>0.045093476466965314</v>
      </c>
      <c r="D61" s="223">
        <v>0.27466876134425694</v>
      </c>
      <c r="E61" s="224">
        <v>9.60023646802767E-4</v>
      </c>
      <c r="F61" s="170">
        <v>689.7580000000307</v>
      </c>
      <c r="G61" s="170">
        <v>324.8943554687503</v>
      </c>
      <c r="H61" s="170">
        <v>127997.40899999958</v>
      </c>
      <c r="I61" s="170">
        <v>57542.0008095703</v>
      </c>
      <c r="J61" s="170">
        <v>353953.9389999996</v>
      </c>
    </row>
    <row r="62">
      <c r="A62" s="165">
        <v>43697.97559685185</v>
      </c>
      <c r="B62" s="223">
        <v>0.24773048782728546</v>
      </c>
      <c r="C62" s="223">
        <v>0.04521387001540392</v>
      </c>
      <c r="D62" s="223">
        <v>0.27391799143328727</v>
      </c>
      <c r="E62" s="224">
        <v>9.435567018491688E-4</v>
      </c>
      <c r="F62" s="170">
        <v>677.2759999999544</v>
      </c>
      <c r="G62" s="170">
        <v>403.5480937499451</v>
      </c>
      <c r="H62" s="170">
        <v>127307.65099999955</v>
      </c>
      <c r="I62" s="170">
        <v>57217.10645410155</v>
      </c>
      <c r="J62" s="170">
        <v>353264.1809999996</v>
      </c>
    </row>
    <row r="63">
      <c r="A63" s="165">
        <v>43696.9756113426</v>
      </c>
      <c r="B63" s="223">
        <v>0.24693138223071515</v>
      </c>
      <c r="C63" s="223">
        <v>0.04533469882413629</v>
      </c>
      <c r="D63" s="223">
        <v>0.2731888688942016</v>
      </c>
      <c r="E63" s="224">
        <v>3.426320001099904E-4</v>
      </c>
      <c r="F63" s="170">
        <v>246.25600000005215</v>
      </c>
      <c r="G63" s="170">
        <v>305.4306640624927</v>
      </c>
      <c r="H63" s="170">
        <v>126630.37499999959</v>
      </c>
      <c r="I63" s="170">
        <v>56813.558360351606</v>
      </c>
      <c r="J63" s="170">
        <v>352586.9049999996</v>
      </c>
    </row>
    <row r="64">
      <c r="A64" s="165">
        <v>43693.9757019213</v>
      </c>
      <c r="B64" s="223">
        <v>0.24741446362180816</v>
      </c>
      <c r="C64" s="223">
        <v>0.04552132669142404</v>
      </c>
      <c r="D64" s="223">
        <v>0.27378004361917446</v>
      </c>
      <c r="E64" s="224">
        <v>0.0029321155424976006</v>
      </c>
      <c r="F64" s="170">
        <v>2106.643999999971</v>
      </c>
      <c r="G64" s="170">
        <v>533.3460351562098</v>
      </c>
      <c r="H64" s="170">
        <v>126384.11899999954</v>
      </c>
      <c r="I64" s="170">
        <v>56508.12769628911</v>
      </c>
      <c r="J64" s="170">
        <v>352340.64899999957</v>
      </c>
    </row>
    <row r="65">
      <c r="A65" s="165">
        <v>43692.9755596412</v>
      </c>
      <c r="B65" s="223">
        <v>0.24350234572652793</v>
      </c>
      <c r="C65" s="223">
        <v>0.04564343005091296</v>
      </c>
      <c r="D65" s="223">
        <v>0.2699386469907496</v>
      </c>
      <c r="E65" s="224">
        <v>0.004535873686989197</v>
      </c>
      <c r="F65" s="170">
        <v>3259.625</v>
      </c>
      <c r="G65" s="170">
        <v>2497.0486542968356</v>
      </c>
      <c r="H65" s="170">
        <v>124277.47499999957</v>
      </c>
      <c r="I65" s="170">
        <v>55974.7816611329</v>
      </c>
      <c r="J65" s="170">
        <v>350234.0049999996</v>
      </c>
    </row>
    <row r="66">
      <c r="A66" s="165">
        <v>43691.97559079861</v>
      </c>
      <c r="B66" s="223">
        <v>0.23705413587923568</v>
      </c>
      <c r="C66" s="223">
        <v>0.0457654249205847</v>
      </c>
      <c r="D66" s="223">
        <v>0.2635610955738981</v>
      </c>
      <c r="E66" s="224">
        <v>0.006541229643734223</v>
      </c>
      <c r="F66" s="170">
        <v>4768.623000000021</v>
      </c>
      <c r="G66" s="170">
        <v>1372.595343749963</v>
      </c>
      <c r="H66" s="170">
        <v>121017.84999999957</v>
      </c>
      <c r="I66" s="170">
        <v>53477.73300683607</v>
      </c>
      <c r="J66" s="170">
        <v>346974.3799999996</v>
      </c>
    </row>
    <row r="67">
      <c r="A67" s="165">
        <v>43690.9756256713</v>
      </c>
      <c r="B67" s="223">
        <v>0.22727010551091312</v>
      </c>
      <c r="C67" s="223">
        <v>0.04588685202173098</v>
      </c>
      <c r="D67" s="223">
        <v>0.2538473947891315</v>
      </c>
      <c r="E67" s="224">
        <v>0.006943003234288328</v>
      </c>
      <c r="F67" s="170">
        <v>5073.175999999861</v>
      </c>
      <c r="G67" s="170">
        <v>303.90673828135186</v>
      </c>
      <c r="H67" s="170">
        <v>116249.22699999955</v>
      </c>
      <c r="I67" s="170">
        <v>52105.137663086105</v>
      </c>
      <c r="J67" s="170">
        <v>342205.7569999996</v>
      </c>
    </row>
    <row r="68">
      <c r="A68" s="165">
        <v>43689.97558885417</v>
      </c>
      <c r="B68" s="223">
        <v>0.21675862083840367</v>
      </c>
      <c r="C68" s="223">
        <v>0.046007101646361334</v>
      </c>
      <c r="D68" s="223">
        <v>0.2434055577154132</v>
      </c>
      <c r="E68" s="224">
        <v>-2.275060679456725E-5</v>
      </c>
      <c r="F68" s="170">
        <v>-16.508199999982025</v>
      </c>
      <c r="G68" s="170">
        <v>252.73865156244574</v>
      </c>
      <c r="H68" s="170">
        <v>111176.05099999969</v>
      </c>
      <c r="I68" s="170">
        <v>51801.23092480475</v>
      </c>
      <c r="J68" s="170">
        <v>337132.5809999997</v>
      </c>
    </row>
    <row r="69">
      <c r="A69" s="165">
        <v>43686.975605</v>
      </c>
      <c r="B69" s="223">
        <v>0.21765452794664375</v>
      </c>
      <c r="C69" s="223">
        <v>0.046220933635703565</v>
      </c>
      <c r="D69" s="223">
        <v>0.2444089541916955</v>
      </c>
      <c r="E69" s="224">
        <v>0.005629992858234414</v>
      </c>
      <c r="F69" s="170">
        <v>4085.3049999997893</v>
      </c>
      <c r="G69" s="171">
        <v>309.5959187500048</v>
      </c>
      <c r="H69" s="171">
        <v>111192.55919999967</v>
      </c>
      <c r="I69" s="171">
        <v>51548.49227324231</v>
      </c>
      <c r="J69" s="171">
        <v>337149.08919999975</v>
      </c>
    </row>
    <row r="70">
      <c r="A70" s="165">
        <v>43685.97611045139</v>
      </c>
      <c r="B70" s="223">
        <v>0.20921549190023203</v>
      </c>
      <c r="C70" s="223">
        <v>0.04631250805155667</v>
      </c>
      <c r="D70" s="223">
        <v>0.23603931766851816</v>
      </c>
      <c r="E70" s="224">
        <v>-5.341708533212675E-4</v>
      </c>
      <c r="F70" s="170">
        <v>-385.425800000201</v>
      </c>
      <c r="G70" s="170">
        <v>572.1963544923055</v>
      </c>
      <c r="H70" s="170">
        <v>107100.5441999998</v>
      </c>
      <c r="I70" s="170">
        <v>51238.8963544923</v>
      </c>
      <c r="J70" s="170">
        <v>333057.07419999986</v>
      </c>
    </row>
    <row r="71">
      <c r="A71" s="165">
        <v>43684.0</v>
      </c>
      <c r="B71" s="225">
        <v>0.2249</v>
      </c>
      <c r="C71" s="225">
        <v>0.0496</v>
      </c>
      <c r="D71" s="225">
        <v>0.2537</v>
      </c>
      <c r="E71" s="226">
        <v>0.0072</v>
      </c>
      <c r="F71" s="227">
        <v>5228.67</v>
      </c>
      <c r="G71" s="227">
        <v>1984.53</v>
      </c>
      <c r="H71" s="228">
        <v>107485.97</v>
      </c>
      <c r="I71" s="228">
        <v>50666.7</v>
      </c>
      <c r="J71" s="228">
        <v>333342.5</v>
      </c>
    </row>
    <row r="72">
      <c r="A72" s="165">
        <v>43683.97558979166</v>
      </c>
      <c r="B72" s="223">
        <v>0.21274582745677312</v>
      </c>
      <c r="C72" s="223">
        <v>0.04962587306110265</v>
      </c>
      <c r="D72" s="223">
        <v>0.24148872713105143</v>
      </c>
      <c r="E72" s="224">
        <v>0.0022140501944005056</v>
      </c>
      <c r="F72" s="170">
        <v>1616.7930000000633</v>
      </c>
      <c r="G72" s="170">
        <v>273.6976757812663</v>
      </c>
      <c r="H72" s="170">
        <v>102257.30200000017</v>
      </c>
      <c r="I72" s="170">
        <v>48682.170926367304</v>
      </c>
      <c r="J72" s="170">
        <v>328113.8320000002</v>
      </c>
    </row>
    <row r="73">
      <c r="A73" s="165">
        <v>43682.97550170139</v>
      </c>
      <c r="B73" s="223">
        <v>0.2090790394266732</v>
      </c>
      <c r="C73" s="223">
        <v>0.04966183383868316</v>
      </c>
      <c r="D73" s="223">
        <v>0.23784276728912127</v>
      </c>
      <c r="E73" s="224">
        <v>-0.005196910090400654</v>
      </c>
      <c r="F73" s="170">
        <v>-3786.600999999908</v>
      </c>
      <c r="G73" s="170">
        <v>1738.5018923828102</v>
      </c>
      <c r="H73" s="170">
        <v>100640.50900000011</v>
      </c>
      <c r="I73" s="170">
        <v>48408.47325058604</v>
      </c>
      <c r="J73" s="170">
        <v>326497.03900000016</v>
      </c>
    </row>
    <row r="74">
      <c r="A74" s="165">
        <v>43679.97556414352</v>
      </c>
      <c r="B74" s="223">
        <v>0.21850288418532313</v>
      </c>
      <c r="C74" s="223">
        <v>0.0497700295551073</v>
      </c>
      <c r="D74" s="223">
        <v>0.2473292781215456</v>
      </c>
      <c r="E74" s="224">
        <v>-0.006438011864656838</v>
      </c>
      <c r="F74" s="170">
        <v>-4786.959000000032</v>
      </c>
      <c r="G74" s="170">
        <v>2485.055761914089</v>
      </c>
      <c r="H74" s="170">
        <v>104427.11000000002</v>
      </c>
      <c r="I74" s="170">
        <v>46669.97135820323</v>
      </c>
      <c r="J74" s="170">
        <v>330283.6400000001</v>
      </c>
    </row>
    <row r="75">
      <c r="A75" s="165">
        <v>43678.97549891204</v>
      </c>
      <c r="B75" s="223">
        <v>0.23000754157236747</v>
      </c>
      <c r="C75" s="223">
        <v>0.04980619963472584</v>
      </c>
      <c r="D75" s="223">
        <v>0.25885488492278774</v>
      </c>
      <c r="E75" s="224">
        <v>0.009283469994557533</v>
      </c>
      <c r="F75" s="170">
        <v>6984.116000000067</v>
      </c>
      <c r="G75" s="171">
        <v>404.13890624997293</v>
      </c>
      <c r="H75" s="170">
        <v>109214.06900000005</v>
      </c>
      <c r="I75" s="170">
        <v>44184.91559628914</v>
      </c>
      <c r="J75" s="170">
        <v>335570.5990000001</v>
      </c>
    </row>
    <row r="76">
      <c r="A76" s="165">
        <v>43677.9755858912</v>
      </c>
      <c r="B76" s="223">
        <v>0.22208620031302148</v>
      </c>
      <c r="C76" s="223">
        <v>0.05208070043397204</v>
      </c>
      <c r="D76" s="223">
        <v>0.25336659191780847</v>
      </c>
      <c r="E76" s="224">
        <v>0.0046328448794782</v>
      </c>
      <c r="F76" s="170">
        <v>3439.055000000051</v>
      </c>
      <c r="G76" s="171">
        <v>337.1064453125364</v>
      </c>
      <c r="H76" s="170">
        <v>102229.95299999998</v>
      </c>
      <c r="I76" s="170">
        <v>43780.776690039165</v>
      </c>
      <c r="J76" s="170">
        <v>328586.48300000007</v>
      </c>
    </row>
    <row r="77">
      <c r="A77" s="165">
        <v>43676.97558961806</v>
      </c>
      <c r="B77" s="223">
        <v>0.21371828203673013</v>
      </c>
      <c r="C77" s="223">
        <v>0.05211860487388032</v>
      </c>
      <c r="D77" s="223">
        <v>0.24502143957427167</v>
      </c>
      <c r="E77" s="224">
        <v>-9.97801692875053E-4</v>
      </c>
      <c r="F77" s="170">
        <v>-737.2570000000997</v>
      </c>
      <c r="G77" s="171">
        <v>316.99673828123923</v>
      </c>
      <c r="H77" s="170">
        <v>98790.89799999993</v>
      </c>
      <c r="I77" s="170">
        <v>43443.67024472663</v>
      </c>
      <c r="J77" s="170">
        <v>325147.428</v>
      </c>
    </row>
    <row r="78">
      <c r="A78" s="165">
        <v>43675.97554023148</v>
      </c>
      <c r="B78" s="223">
        <v>0.21570381842494996</v>
      </c>
      <c r="C78" s="223">
        <v>0.052156564527830705</v>
      </c>
      <c r="D78" s="223">
        <v>0.24702977505756615</v>
      </c>
      <c r="E78" s="224">
        <v>-0.0017371833206261341</v>
      </c>
      <c r="F78" s="170">
        <v>-1284.85299999977</v>
      </c>
      <c r="G78" s="171">
        <v>295.61139062503935</v>
      </c>
      <c r="H78" s="170">
        <v>99528.15500000003</v>
      </c>
      <c r="I78" s="170">
        <v>43126.67350644539</v>
      </c>
      <c r="J78" s="170">
        <v>325884.6850000001</v>
      </c>
    </row>
    <row r="79">
      <c r="A79" s="165">
        <v>43672.97558247685</v>
      </c>
      <c r="B79" s="223">
        <v>0.21937216249264535</v>
      </c>
      <c r="C79" s="223">
        <v>0.05227077598300114</v>
      </c>
      <c r="D79" s="223">
        <v>0.2507667161105885</v>
      </c>
      <c r="E79" s="224">
        <v>0.004762942118399858</v>
      </c>
      <c r="F79" s="170">
        <v>3528.879999999772</v>
      </c>
      <c r="G79" s="171">
        <v>320.1767265625531</v>
      </c>
      <c r="H79" s="170">
        <v>100813.0079999998</v>
      </c>
      <c r="I79" s="170">
        <v>42831.06211582035</v>
      </c>
      <c r="J79" s="170">
        <v>327169.5379999999</v>
      </c>
    </row>
    <row r="80">
      <c r="A80" s="165">
        <v>43671.97554883102</v>
      </c>
      <c r="B80" s="223">
        <v>0.21074810169270433</v>
      </c>
      <c r="C80" s="223">
        <v>0.05230895770395293</v>
      </c>
      <c r="D80" s="223">
        <v>0.24216558778224564</v>
      </c>
      <c r="E80" s="224">
        <v>-0.003238928036837796</v>
      </c>
      <c r="F80" s="170">
        <v>-2388.3029999999562</v>
      </c>
      <c r="G80" s="171">
        <v>284.7817812499925</v>
      </c>
      <c r="H80" s="170">
        <v>97284.12800000003</v>
      </c>
      <c r="I80" s="170">
        <v>42510.8853892578</v>
      </c>
      <c r="J80" s="170">
        <v>323640.6580000001</v>
      </c>
    </row>
    <row r="81">
      <c r="A81" s="165">
        <v>43670.975518182866</v>
      </c>
      <c r="B81" s="223">
        <v>0.21685161272690978</v>
      </c>
      <c r="C81" s="223">
        <v>0.05234719524613418</v>
      </c>
      <c r="D81" s="223">
        <v>0.2482920648150546</v>
      </c>
      <c r="E81" s="224">
        <v>0.0036010420156003162</v>
      </c>
      <c r="F81" s="170">
        <v>2663.917000000016</v>
      </c>
      <c r="G81" s="171">
        <v>328.4107343749565</v>
      </c>
      <c r="H81" s="170">
        <v>99672.43099999998</v>
      </c>
      <c r="I81" s="170">
        <v>42226.103608007805</v>
      </c>
      <c r="J81" s="170">
        <v>326028.96100000007</v>
      </c>
    </row>
    <row r="82">
      <c r="A82" s="165">
        <v>43669.97551841435</v>
      </c>
      <c r="B82" s="223">
        <v>0.21036935939011772</v>
      </c>
      <c r="C82" s="223">
        <v>0.05238548873204942</v>
      </c>
      <c r="D82" s="223">
        <v>0.24183281107744917</v>
      </c>
      <c r="E82" s="224">
        <v>0.0038092079431448346</v>
      </c>
      <c r="F82" s="170">
        <v>2807.763000000152</v>
      </c>
      <c r="G82" s="171">
        <v>335.8918515625046</v>
      </c>
      <c r="H82" s="170">
        <v>97008.51399999997</v>
      </c>
      <c r="I82" s="170">
        <v>41897.69287363285</v>
      </c>
      <c r="J82" s="170">
        <v>323365.04400000005</v>
      </c>
    </row>
    <row r="83">
      <c r="A83" s="165">
        <v>43668.97551087963</v>
      </c>
      <c r="B83" s="223">
        <v>0.20351875856698207</v>
      </c>
      <c r="C83" s="223">
        <v>0.0524238382845619</v>
      </c>
      <c r="D83" s="223">
        <v>0.2350052435278767</v>
      </c>
      <c r="E83" s="224">
        <v>1.5958513543355222E-4</v>
      </c>
      <c r="F83" s="170">
        <v>117.02099999994971</v>
      </c>
      <c r="G83" s="171">
        <v>293.70890859374776</v>
      </c>
      <c r="H83" s="170">
        <v>94200.75099999981</v>
      </c>
      <c r="I83" s="170">
        <v>41561.80102207034</v>
      </c>
      <c r="J83" s="170">
        <v>320557.2809999999</v>
      </c>
    </row>
    <row r="84">
      <c r="A84" s="165">
        <v>43665.9755669213</v>
      </c>
      <c r="B84" s="223">
        <v>0.20367410576320563</v>
      </c>
      <c r="C84" s="223">
        <v>0.05255842625674569</v>
      </c>
      <c r="D84" s="223">
        <v>0.23522991833442017</v>
      </c>
      <c r="E84" s="224">
        <v>0.0045249180079447735</v>
      </c>
      <c r="F84" s="170">
        <v>3317.5139999997336</v>
      </c>
      <c r="G84" s="171">
        <v>425.8114257812704</v>
      </c>
      <c r="H84" s="170">
        <v>94083.72999999986</v>
      </c>
      <c r="I84" s="170">
        <v>41268.092113476596</v>
      </c>
      <c r="J84" s="170">
        <v>320440.25999999995</v>
      </c>
    </row>
    <row r="85">
      <c r="A85" s="165">
        <v>43664.97553141204</v>
      </c>
      <c r="B85" s="223">
        <v>0.19552304512559765</v>
      </c>
      <c r="C85" s="223">
        <v>0.05259701540965079</v>
      </c>
      <c r="D85" s="223">
        <v>0.22710202642850913</v>
      </c>
      <c r="E85" s="224">
        <v>-0.0023912601015645706</v>
      </c>
      <c r="F85" s="170">
        <v>-1748.169999999809</v>
      </c>
      <c r="G85" s="171">
        <v>261.5560781249296</v>
      </c>
      <c r="H85" s="170">
        <v>90766.21600000013</v>
      </c>
      <c r="I85" s="170">
        <v>40842.280687695325</v>
      </c>
      <c r="J85" s="170">
        <v>317122.7460000002</v>
      </c>
    </row>
    <row r="86">
      <c r="A86" s="165">
        <v>43663.9755241088</v>
      </c>
      <c r="B86" s="223">
        <v>0.200043937017573</v>
      </c>
      <c r="C86" s="223">
        <v>0.0526356612696138</v>
      </c>
      <c r="D86" s="223">
        <v>0.23164612109881141</v>
      </c>
      <c r="E86" s="224">
        <v>0.0017202984069430813</v>
      </c>
      <c r="F86" s="170">
        <v>1258.6138999999966</v>
      </c>
      <c r="G86" s="171">
        <v>301.8291753905796</v>
      </c>
      <c r="H86" s="170">
        <v>92514.38599999994</v>
      </c>
      <c r="I86" s="170">
        <v>40580.724609570396</v>
      </c>
      <c r="J86" s="170">
        <v>318870.916</v>
      </c>
    </row>
    <row r="87">
      <c r="A87" s="165">
        <v>43662.975559212966</v>
      </c>
      <c r="B87" s="223">
        <v>0.19703727641530036</v>
      </c>
      <c r="C87" s="223">
        <v>0.05267436396172381</v>
      </c>
      <c r="D87" s="223">
        <v>0.22866269739659847</v>
      </c>
      <c r="E87" s="224">
        <v>8.004556977805698E-4</v>
      </c>
      <c r="F87" s="170">
        <v>581.998099999968</v>
      </c>
      <c r="G87" s="171">
        <v>278.6370750000133</v>
      </c>
      <c r="H87" s="170">
        <v>91255.77209999994</v>
      </c>
      <c r="I87" s="170">
        <v>40278.895434179816</v>
      </c>
      <c r="J87" s="170">
        <v>317612.30210000003</v>
      </c>
    </row>
    <row r="88">
      <c r="A88" s="165">
        <v>43661.975785104165</v>
      </c>
      <c r="B88" s="223">
        <v>0.19572285781246393</v>
      </c>
      <c r="C88" s="223">
        <v>0.0527131236114381</v>
      </c>
      <c r="D88" s="223">
        <v>0.22737154989087852</v>
      </c>
      <c r="E88" s="224">
        <v>0.002833871784186684</v>
      </c>
      <c r="F88" s="170">
        <v>2058.811999999918</v>
      </c>
      <c r="G88" s="171">
        <v>275.5113906250699</v>
      </c>
      <c r="H88" s="170">
        <v>90673.77399999998</v>
      </c>
      <c r="I88" s="170">
        <v>40000.2583591798</v>
      </c>
      <c r="J88" s="170">
        <v>317030.30400000006</v>
      </c>
    </row>
    <row r="89">
      <c r="A89" s="165">
        <v>43658.97550900463</v>
      </c>
      <c r="B89" s="223">
        <v>0.19098184493663561</v>
      </c>
      <c r="C89" s="223">
        <v>0.05282974556633066</v>
      </c>
      <c r="D89" s="223">
        <v>0.22270053111405602</v>
      </c>
      <c r="E89" s="224">
        <v>-0.0026817209860908854</v>
      </c>
      <c r="F89" s="170">
        <v>-1949.4349999999395</v>
      </c>
      <c r="G89" s="171">
        <v>883.3359765624555</v>
      </c>
      <c r="H89" s="170">
        <v>88614.96200000006</v>
      </c>
      <c r="I89" s="170">
        <v>39724.74696855473</v>
      </c>
      <c r="J89" s="170">
        <v>314971.49200000014</v>
      </c>
    </row>
    <row r="90">
      <c r="A90" s="165">
        <v>43657.97626928241</v>
      </c>
      <c r="B90" s="223">
        <v>0.19602402232574184</v>
      </c>
      <c r="C90" s="223">
        <v>0.052870293596246266</v>
      </c>
      <c r="D90" s="223">
        <v>0.22776767641544768</v>
      </c>
      <c r="E90" s="224">
        <v>-9.841740825469888E-4</v>
      </c>
      <c r="F90" s="170">
        <v>-721.1900000000605</v>
      </c>
      <c r="G90" s="171">
        <v>623.0845507812264</v>
      </c>
      <c r="H90" s="170">
        <v>90564.397</v>
      </c>
      <c r="I90" s="170">
        <v>38841.41099199228</v>
      </c>
      <c r="J90" s="170">
        <v>316920.9270000001</v>
      </c>
    </row>
    <row r="91">
      <c r="A91" s="165">
        <v>43656.97559091436</v>
      </c>
      <c r="B91" s="223">
        <v>0.20012888956255828</v>
      </c>
      <c r="C91" s="223">
        <v>0.050764366092827605</v>
      </c>
      <c r="D91" s="223">
        <v>0.22975101301774756</v>
      </c>
      <c r="E91" s="224">
        <v>-7.31015658009307E-4</v>
      </c>
      <c r="F91" s="170">
        <v>-536.829000000027</v>
      </c>
      <c r="G91" s="171">
        <v>276.48509374995047</v>
      </c>
      <c r="H91" s="170">
        <v>91285.58700000006</v>
      </c>
      <c r="I91" s="170">
        <v>38218.32644121105</v>
      </c>
      <c r="J91" s="170">
        <v>317642.11700000014</v>
      </c>
    </row>
    <row r="92">
      <c r="A92" s="165">
        <v>43655.975537604165</v>
      </c>
      <c r="B92" s="223">
        <v>0.2016289145908965</v>
      </c>
      <c r="C92" s="223">
        <v>0.05080188594951115</v>
      </c>
      <c r="D92" s="223">
        <v>0.23127293170717608</v>
      </c>
      <c r="E92" s="224">
        <v>-0.0014799659842535398</v>
      </c>
      <c r="F92" s="170">
        <v>-1087.622999999905</v>
      </c>
      <c r="G92" s="171">
        <v>289.0807617188111</v>
      </c>
      <c r="H92" s="170">
        <v>91822.41600000008</v>
      </c>
      <c r="I92" s="170">
        <v>37941.8413474611</v>
      </c>
      <c r="J92" s="170">
        <v>318178.9460000002</v>
      </c>
    </row>
    <row r="93">
      <c r="A93" s="165">
        <v>43654.97559178241</v>
      </c>
      <c r="B93" s="223">
        <v>0.2045194684118529</v>
      </c>
      <c r="C93" s="223">
        <v>0.05083946130894126</v>
      </c>
      <c r="D93" s="223">
        <v>0.23418541157629547</v>
      </c>
      <c r="E93" s="224">
        <v>0.0021693284179916646</v>
      </c>
      <c r="F93" s="170">
        <v>1596.5929999999935</v>
      </c>
      <c r="G93" s="171">
        <v>307.22545312500733</v>
      </c>
      <c r="H93" s="170">
        <v>92910.03899999999</v>
      </c>
      <c r="I93" s="170">
        <v>37652.76058574229</v>
      </c>
      <c r="J93" s="170">
        <v>319266.5690000001</v>
      </c>
    </row>
    <row r="94">
      <c r="A94" s="165">
        <v>43651.97561385417</v>
      </c>
      <c r="B94" s="223">
        <v>0.20094103359643517</v>
      </c>
      <c r="C94" s="223">
        <v>0.0509525216380197</v>
      </c>
      <c r="D94" s="223">
        <v>0.23067294994804843</v>
      </c>
      <c r="E94" s="224">
        <v>-0.0044457991561265234</v>
      </c>
      <c r="F94" s="170">
        <v>-3264.94299999997</v>
      </c>
      <c r="G94" s="171">
        <v>421.6874765625471</v>
      </c>
      <c r="H94" s="170">
        <v>91313.446</v>
      </c>
      <c r="I94" s="170">
        <v>37345.53513261728</v>
      </c>
      <c r="J94" s="170">
        <v>317669.9760000001</v>
      </c>
    </row>
    <row r="95">
      <c r="A95" s="165">
        <v>43650.97587807871</v>
      </c>
      <c r="B95" s="223">
        <v>0.20934400715828697</v>
      </c>
      <c r="C95" s="223">
        <v>0.0509903202445761</v>
      </c>
      <c r="D95" s="223">
        <v>0.23909797982766848</v>
      </c>
      <c r="E95" s="224">
        <v>0.00187127790227179</v>
      </c>
      <c r="F95" s="170">
        <v>1383.9359999998705</v>
      </c>
      <c r="G95" s="171">
        <v>109.07911328123737</v>
      </c>
      <c r="H95" s="170">
        <v>94578.38899999997</v>
      </c>
      <c r="I95" s="170">
        <v>36923.847656054735</v>
      </c>
      <c r="J95" s="170">
        <v>320934.91900000005</v>
      </c>
    </row>
    <row r="96">
      <c r="A96" s="165">
        <v>43649.97557061343</v>
      </c>
      <c r="B96" s="223">
        <v>0.2059981788041704</v>
      </c>
      <c r="C96" s="223">
        <v>0.05102817497378514</v>
      </c>
      <c r="D96" s="223">
        <v>0.23577424054012164</v>
      </c>
      <c r="E96" s="224">
        <v>0.009490911156274274</v>
      </c>
      <c r="F96" s="170">
        <v>7006.033000000098</v>
      </c>
      <c r="G96" s="171">
        <v>126.8485427734995</v>
      </c>
      <c r="H96" s="170">
        <v>93194.4530000001</v>
      </c>
      <c r="I96" s="170">
        <v>36814.7685427735</v>
      </c>
      <c r="J96" s="170">
        <v>319550.9830000002</v>
      </c>
    </row>
    <row r="97">
      <c r="A97" s="220">
        <v>43648.0</v>
      </c>
      <c r="B97" s="221">
        <v>0.1884</v>
      </c>
      <c r="C97" s="221">
        <v>0.0511040533008837</v>
      </c>
      <c r="D97" s="221">
        <v>0.2182</v>
      </c>
      <c r="E97" s="222">
        <v>0.0016746488016665955</v>
      </c>
      <c r="F97" s="171">
        <v>1233.4654000000592</v>
      </c>
      <c r="G97" s="171">
        <v>46.05999999999767</v>
      </c>
      <c r="H97" s="171">
        <v>86188.42</v>
      </c>
      <c r="I97" s="170">
        <v>36687.92</v>
      </c>
      <c r="J97" s="171">
        <v>312544.95</v>
      </c>
    </row>
    <row r="98">
      <c r="A98" s="165">
        <v>43647.97550277778</v>
      </c>
      <c r="B98" s="223">
        <v>0.1854282512260118</v>
      </c>
      <c r="C98" s="223">
        <v>0.0511040533008837</v>
      </c>
      <c r="D98" s="223">
        <v>0.21524858963368937</v>
      </c>
      <c r="E98" s="224">
        <v>0.00550119896845029</v>
      </c>
      <c r="F98" s="170">
        <v>4015.5666000001074</v>
      </c>
      <c r="G98" s="171">
        <v>139.66560410161037</v>
      </c>
      <c r="H98" s="170">
        <v>84954.95459999994</v>
      </c>
      <c r="I98" s="170">
        <v>36641.86</v>
      </c>
      <c r="J98" s="170">
        <v>311811.4846</v>
      </c>
    </row>
    <row r="99">
      <c r="A99" s="165">
        <v>43644.9757212963</v>
      </c>
      <c r="B99" s="223">
        <v>0.18213472811325232</v>
      </c>
      <c r="C99" s="223">
        <v>0.05332337851154627</v>
      </c>
      <c r="D99" s="223">
        <v>0.21466465177944932</v>
      </c>
      <c r="E99" s="224">
        <v>0.0024699982832857223</v>
      </c>
      <c r="F99" s="170">
        <v>1791.8169999996899</v>
      </c>
      <c r="G99" s="171">
        <v>228.98830468747474</v>
      </c>
      <c r="H99" s="170">
        <v>80939.38799999983</v>
      </c>
      <c r="I99" s="170">
        <v>36502.19439589839</v>
      </c>
      <c r="J99" s="170">
        <v>307795.9179999999</v>
      </c>
    </row>
    <row r="100">
      <c r="A100" s="165">
        <v>43643.97556141204</v>
      </c>
      <c r="B100" s="223">
        <v>0.1775148092091532</v>
      </c>
      <c r="C100" s="223">
        <v>0.05336314240305376</v>
      </c>
      <c r="D100" s="223">
        <v>0.21006899083483282</v>
      </c>
      <c r="E100" s="224">
        <v>0.005022438823094043</v>
      </c>
      <c r="F100" s="170">
        <v>3634.4410000002244</v>
      </c>
      <c r="G100" s="171">
        <v>211.74766015623754</v>
      </c>
      <c r="H100" s="170">
        <v>79147.57100000014</v>
      </c>
      <c r="I100" s="170">
        <v>36273.206091210915</v>
      </c>
      <c r="J100" s="170">
        <v>306004.1010000002</v>
      </c>
    </row>
    <row r="101">
      <c r="A101" s="165">
        <v>43642.97556438658</v>
      </c>
      <c r="B101" s="223">
        <v>0.17735816119953313</v>
      </c>
      <c r="C101" s="223">
        <v>0.04403856161474534</v>
      </c>
      <c r="D101" s="223">
        <v>0.20057223296169732</v>
      </c>
      <c r="E101" s="224">
        <v>-0.004115014596040745</v>
      </c>
      <c r="F101" s="170">
        <v>-2977.3439999999246</v>
      </c>
      <c r="G101" s="171">
        <v>230.16992187495634</v>
      </c>
      <c r="H101" s="170">
        <v>75513.12999999992</v>
      </c>
      <c r="I101" s="170">
        <v>36061.45843105468</v>
      </c>
      <c r="J101" s="170">
        <v>302369.66</v>
      </c>
    </row>
    <row r="102">
      <c r="A102" s="165">
        <v>43641.975582847226</v>
      </c>
      <c r="B102" s="223">
        <v>0.185404717628162</v>
      </c>
      <c r="C102" s="223">
        <v>0.04407145075710139</v>
      </c>
      <c r="D102" s="223">
        <v>0.20863612626244132</v>
      </c>
      <c r="E102" s="224">
        <v>0.0028651145823673195</v>
      </c>
      <c r="F102" s="170">
        <v>2081.53199999989</v>
      </c>
      <c r="G102" s="171">
        <v>395.2349140625083</v>
      </c>
      <c r="H102" s="170">
        <v>78490.47399999984</v>
      </c>
      <c r="I102" s="170">
        <v>35831.28850917972</v>
      </c>
      <c r="J102" s="170">
        <v>305347.0039999999</v>
      </c>
    </row>
    <row r="103">
      <c r="A103" s="165">
        <v>43640.97553373843</v>
      </c>
      <c r="B103" s="223">
        <v>0.1800062148977896</v>
      </c>
      <c r="C103" s="223">
        <v>0.0441043890611052</v>
      </c>
      <c r="D103" s="223">
        <v>0.20325498631879108</v>
      </c>
      <c r="E103" s="224">
        <v>-0.0031396138864800576</v>
      </c>
      <c r="F103" s="170">
        <v>-2277.8087499999674</v>
      </c>
      <c r="G103" s="171">
        <v>747.3893017578084</v>
      </c>
      <c r="H103" s="170">
        <v>76408.94199999995</v>
      </c>
      <c r="I103" s="170">
        <v>35436.05359511721</v>
      </c>
      <c r="J103" s="170">
        <v>301265.472</v>
      </c>
    </row>
    <row r="104">
      <c r="A104" s="165">
        <v>43637.97556229167</v>
      </c>
      <c r="B104" s="223">
        <v>0.18648352532436602</v>
      </c>
      <c r="C104" s="223">
        <v>0.044203500047759366</v>
      </c>
      <c r="D104" s="223">
        <v>0.20978454117552708</v>
      </c>
      <c r="E104" s="224">
        <v>-0.006877898818845924</v>
      </c>
      <c r="F104" s="170">
        <v>-4976.366000000038</v>
      </c>
      <c r="G104" s="171">
        <v>218.57705371092743</v>
      </c>
      <c r="H104" s="170">
        <v>78686.75074999992</v>
      </c>
      <c r="I104" s="170">
        <v>34688.664293359405</v>
      </c>
      <c r="J104" s="170">
        <v>303543.28075</v>
      </c>
    </row>
    <row r="105">
      <c r="A105" s="165">
        <v>43636.9755725463</v>
      </c>
      <c r="B105" s="223">
        <v>0.19990061355408326</v>
      </c>
      <c r="C105" s="223">
        <v>0.044236636104766684</v>
      </c>
      <c r="D105" s="223">
        <v>0.22321909643361845</v>
      </c>
      <c r="E105" s="224">
        <v>0.005914847577132598</v>
      </c>
      <c r="F105" s="170">
        <v>4309.003999999957</v>
      </c>
      <c r="G105" s="171">
        <v>262.82312011717295</v>
      </c>
      <c r="H105" s="170">
        <v>83663.11674999996</v>
      </c>
      <c r="I105" s="170">
        <v>34470.08723964848</v>
      </c>
      <c r="J105" s="170">
        <v>308519.64675</v>
      </c>
    </row>
    <row r="106">
      <c r="A106" s="165">
        <v>43635.97556789352</v>
      </c>
      <c r="B106" s="223">
        <v>0.18854522520828457</v>
      </c>
      <c r="C106" s="223">
        <v>0.044269821878288644</v>
      </c>
      <c r="D106" s="223">
        <v>0.21188120132328833</v>
      </c>
      <c r="E106" s="224">
        <v>-0.0053035492168685295</v>
      </c>
      <c r="F106" s="170">
        <v>-3840.8162500000326</v>
      </c>
      <c r="G106" s="171">
        <v>210.17479492190614</v>
      </c>
      <c r="H106" s="170">
        <v>79354.11275</v>
      </c>
      <c r="I106" s="170">
        <v>34207.264119531304</v>
      </c>
      <c r="J106" s="170">
        <v>304210.64275000006</v>
      </c>
    </row>
    <row r="107">
      <c r="A107" s="165">
        <v>43634.97548493056</v>
      </c>
      <c r="B107" s="223">
        <v>0.1989497310736472</v>
      </c>
      <c r="C107" s="223">
        <v>0.04430305748029937</v>
      </c>
      <c r="D107" s="223">
        <v>0.2223032266902388</v>
      </c>
      <c r="E107" s="224">
        <v>0.009722140470936443</v>
      </c>
      <c r="F107" s="170">
        <v>7078.089249999961</v>
      </c>
      <c r="G107" s="171">
        <v>272.2773876952924</v>
      </c>
      <c r="H107" s="170">
        <v>83194.92900000003</v>
      </c>
      <c r="I107" s="170">
        <v>33997.0893246094</v>
      </c>
      <c r="J107" s="170">
        <v>308051.4590000001</v>
      </c>
    </row>
    <row r="108">
      <c r="A108" s="165">
        <v>43633.97552681713</v>
      </c>
      <c r="B108" s="223">
        <v>0.18017179821649065</v>
      </c>
      <c r="C108" s="223">
        <v>0.04433634302310951</v>
      </c>
      <c r="D108" s="223">
        <v>0.2035428396599918</v>
      </c>
      <c r="E108" s="224">
        <v>-4.845205922721386E-4</v>
      </c>
      <c r="F108" s="170">
        <v>-349.31999999983236</v>
      </c>
      <c r="G108" s="171">
        <v>214.3337691405759</v>
      </c>
      <c r="H108" s="170">
        <v>76116.83975000007</v>
      </c>
      <c r="I108" s="170">
        <v>33724.811936914106</v>
      </c>
      <c r="J108" s="170">
        <v>300973.3697500001</v>
      </c>
    </row>
    <row r="109">
      <c r="A109" s="165">
        <v>43630.975530324074</v>
      </c>
      <c r="B109" s="223">
        <v>0.18151503410956074</v>
      </c>
      <c r="C109" s="223">
        <v>0.044436500424517134</v>
      </c>
      <c r="D109" s="223">
        <v>0.20493887158041918</v>
      </c>
      <c r="E109" s="224">
        <v>0.0077982073017924475</v>
      </c>
      <c r="F109" s="170">
        <v>5624.9201499999035</v>
      </c>
      <c r="G109" s="171">
        <v>238.1198902343749</v>
      </c>
      <c r="H109" s="170">
        <v>76466.1597499999</v>
      </c>
      <c r="I109" s="170">
        <v>33510.47816777353</v>
      </c>
      <c r="J109" s="170">
        <v>301231.3499000001</v>
      </c>
    </row>
    <row r="110">
      <c r="A110" s="165">
        <v>43629.975487916665</v>
      </c>
      <c r="B110" s="223">
        <v>0.16656497004071114</v>
      </c>
      <c r="C110" s="223">
        <v>0.04446998686040599</v>
      </c>
      <c r="D110" s="223">
        <v>0.19000645923536072</v>
      </c>
      <c r="E110" s="224">
        <v>0.0015740789382081297</v>
      </c>
      <c r="F110" s="170">
        <v>1126.5438500000164</v>
      </c>
      <c r="G110" s="171">
        <v>214.66358769523504</v>
      </c>
      <c r="H110" s="170">
        <v>70841.2396</v>
      </c>
      <c r="I110" s="170">
        <v>33272.358277539155</v>
      </c>
      <c r="J110" s="170">
        <v>295697.77960000007</v>
      </c>
    </row>
    <row r="111">
      <c r="A111" s="165">
        <v>43628.975554687495</v>
      </c>
      <c r="B111" s="223">
        <v>0.16461864734375686</v>
      </c>
      <c r="C111" s="223">
        <v>0.044762358810867285</v>
      </c>
      <c r="D111" s="223">
        <v>0.18821425472915543</v>
      </c>
      <c r="E111" s="224">
        <v>4.6791972764006237E-4</v>
      </c>
      <c r="F111" s="170">
        <v>334.3557499999879</v>
      </c>
      <c r="G111" s="171">
        <v>371.0246898439218</v>
      </c>
      <c r="H111" s="170">
        <v>69714.69574999998</v>
      </c>
      <c r="I111" s="170">
        <v>33057.69468984392</v>
      </c>
      <c r="J111" s="170">
        <v>294571.23575000005</v>
      </c>
    </row>
    <row r="112">
      <c r="A112" s="229">
        <v>43627.0</v>
      </c>
      <c r="B112" s="21">
        <v>0.1638</v>
      </c>
      <c r="C112" s="21">
        <v>0.0448</v>
      </c>
      <c r="D112" s="21">
        <v>0.1875</v>
      </c>
      <c r="E112" s="21">
        <v>-0.0045</v>
      </c>
      <c r="F112" s="230">
        <v>-3211.8</v>
      </c>
      <c r="G112" s="171">
        <v>1156.8482505880966</v>
      </c>
      <c r="H112" s="230">
        <v>69380.34</v>
      </c>
      <c r="I112" s="230">
        <v>32686.67</v>
      </c>
      <c r="J112" s="170">
        <v>294203.9470000002</v>
      </c>
    </row>
    <row r="113">
      <c r="A113" s="229">
        <v>43626.97555510417</v>
      </c>
      <c r="B113" s="21">
        <v>0.1726475103180996</v>
      </c>
      <c r="C113" s="21">
        <v>0.044829975667077054</v>
      </c>
      <c r="D113" s="21">
        <v>0.19627876061495647</v>
      </c>
      <c r="E113" s="21">
        <v>0.00224045601605541</v>
      </c>
      <c r="F113" s="230">
        <v>1574.6530000001658</v>
      </c>
      <c r="G113" s="171">
        <v>295.6568460784256</v>
      </c>
      <c r="H113" s="230">
        <v>72592.13875000007</v>
      </c>
      <c r="I113" s="230">
        <v>31529.8217494119</v>
      </c>
      <c r="J113" s="170">
        <v>297448.67875000014</v>
      </c>
    </row>
    <row r="114">
      <c r="A114" s="229">
        <v>43623.97553260416</v>
      </c>
      <c r="B114" s="21">
        <v>0.1687722612731783</v>
      </c>
      <c r="C114" s="21">
        <v>0.04493178484724453</v>
      </c>
      <c r="D114" s="21">
        <v>0.192457205400434</v>
      </c>
      <c r="E114" s="21">
        <v>0.002033533553704024</v>
      </c>
      <c r="F114" s="230">
        <v>1428.8839999999618</v>
      </c>
      <c r="G114" s="171">
        <v>289.0780225490489</v>
      </c>
      <c r="H114" s="230">
        <v>71017.4857499999</v>
      </c>
      <c r="I114" s="230">
        <v>31234.164903333476</v>
      </c>
      <c r="J114" s="170">
        <v>295874.00574999995</v>
      </c>
    </row>
    <row r="115">
      <c r="A115" s="229">
        <v>43622.97405748843</v>
      </c>
      <c r="B115" s="21">
        <v>0.16502491350886753</v>
      </c>
      <c r="C115" s="21">
        <v>0.04496582407818941</v>
      </c>
      <c r="D115" s="21">
        <v>0.1887278007756136</v>
      </c>
      <c r="E115" s="21">
        <v>0.002463543429456294</v>
      </c>
      <c r="F115" s="230">
        <v>1730.255000000121</v>
      </c>
      <c r="G115" s="171">
        <v>336.1546774509734</v>
      </c>
      <c r="H115" s="230">
        <v>69588.60174999994</v>
      </c>
      <c r="I115" s="230">
        <v>30945.086880784427</v>
      </c>
      <c r="J115" s="170">
        <v>294445.12175</v>
      </c>
    </row>
    <row r="116">
      <c r="A116" s="229">
        <v>43621.97554784722</v>
      </c>
      <c r="B116" s="21">
        <v>0.16045393061371013</v>
      </c>
      <c r="C116" s="21">
        <v>0.04499991492282791</v>
      </c>
      <c r="D116" s="21">
        <v>0.18417478822713307</v>
      </c>
      <c r="E116" s="21">
        <v>7.910948237736742E-4</v>
      </c>
      <c r="F116" s="230">
        <v>556.4552499998827</v>
      </c>
      <c r="G116" s="171">
        <v>196.4040696078082</v>
      </c>
      <c r="H116" s="230">
        <v>67858.34674999982</v>
      </c>
      <c r="I116" s="230">
        <v>30608.932203333454</v>
      </c>
      <c r="J116" s="170">
        <v>292714.86674999987</v>
      </c>
    </row>
    <row r="117">
      <c r="A117" s="229">
        <v>43620.97553408565</v>
      </c>
      <c r="B117" s="21">
        <v>0.15906424631163826</v>
      </c>
      <c r="C117" s="21">
        <v>0.045034057498641894</v>
      </c>
      <c r="D117" s="21">
        <v>0.18280310154085286</v>
      </c>
      <c r="E117" s="21">
        <v>-0.0019225061870781811</v>
      </c>
      <c r="F117" s="230">
        <v>-1351.21900000007</v>
      </c>
      <c r="G117" s="171">
        <v>263.8274215686906</v>
      </c>
      <c r="H117" s="230">
        <v>67301.89149999994</v>
      </c>
      <c r="I117" s="230">
        <v>30412.528133725646</v>
      </c>
      <c r="J117" s="170">
        <v>292158.4115</v>
      </c>
    </row>
    <row r="118">
      <c r="A118" s="229">
        <v>43619.97560135416</v>
      </c>
      <c r="B118" s="21">
        <v>0.16661725540956637</v>
      </c>
      <c r="C118" s="21">
        <v>0.041308915041726395</v>
      </c>
      <c r="D118" s="21">
        <v>0.18661482588634298</v>
      </c>
      <c r="E118" s="21">
        <v>-0.0016356364658857633</v>
      </c>
      <c r="F118" s="230">
        <v>-1153.443099999975</v>
      </c>
      <c r="G118" s="171">
        <v>1080.5468917646322</v>
      </c>
      <c r="H118" s="230">
        <v>68653.11050000001</v>
      </c>
      <c r="I118" s="230">
        <v>30148.700712156955</v>
      </c>
      <c r="J118" s="170">
        <v>293772.80050000007</v>
      </c>
    </row>
    <row r="119">
      <c r="A119" s="229">
        <v>43616.97553696759</v>
      </c>
      <c r="B119" s="21">
        <v>0.1763352985939308</v>
      </c>
      <c r="C119" s="21">
        <v>0.043305704322275276</v>
      </c>
      <c r="D119" s="21">
        <v>0.19892228531675066</v>
      </c>
      <c r="E119" s="21">
        <v>0.002728956809995603</v>
      </c>
      <c r="F119" s="230">
        <v>1953.190100000007</v>
      </c>
      <c r="G119" s="171">
        <v>1104.3614909804455</v>
      </c>
      <c r="H119" s="230">
        <v>69806.55359999998</v>
      </c>
      <c r="I119" s="230">
        <v>29068.153820392323</v>
      </c>
      <c r="J119" s="170">
        <v>294763.07360000006</v>
      </c>
    </row>
    <row r="120">
      <c r="A120" s="229">
        <v>43615.97552291666</v>
      </c>
      <c r="B120" s="21">
        <v>0.1708995057772049</v>
      </c>
      <c r="C120" s="21">
        <v>0.04333868657994647</v>
      </c>
      <c r="D120" s="21">
        <v>0.1935036950794024</v>
      </c>
      <c r="E120" s="21">
        <v>-3.4930420178291626E-4</v>
      </c>
      <c r="F120" s="230">
        <v>-252.67249999998603</v>
      </c>
      <c r="G120" s="171">
        <v>202.25386078432348</v>
      </c>
      <c r="H120" s="230">
        <v>67853.36349999998</v>
      </c>
      <c r="I120" s="230">
        <v>27963.792329411877</v>
      </c>
      <c r="J120" s="170">
        <v>292809.88350000005</v>
      </c>
    </row>
    <row r="121">
      <c r="A121" s="229">
        <v>43614.97553484954</v>
      </c>
      <c r="B121" s="21">
        <v>0.1717508832346325</v>
      </c>
      <c r="C121" s="21">
        <v>0.04337171911544947</v>
      </c>
      <c r="D121" s="21">
        <v>0.1943723013396518</v>
      </c>
      <c r="E121" s="21">
        <v>0.0031059607601716535</v>
      </c>
      <c r="F121" s="230">
        <v>2247.510899999994</v>
      </c>
      <c r="G121" s="171">
        <v>619.7087898039063</v>
      </c>
      <c r="H121" s="230">
        <v>68106.03599999996</v>
      </c>
      <c r="I121" s="230">
        <v>27761.538468627554</v>
      </c>
      <c r="J121" s="170">
        <v>293062.55600000004</v>
      </c>
    </row>
    <row r="122">
      <c r="A122" s="229">
        <v>43613.9755316088</v>
      </c>
      <c r="B122" s="21">
        <v>0.16546267871135467</v>
      </c>
      <c r="C122" s="21">
        <v>0.043404802043836545</v>
      </c>
      <c r="D122" s="21">
        <v>0.18810135190264782</v>
      </c>
      <c r="E122" s="21">
        <v>0.002944074793583642</v>
      </c>
      <c r="F122" s="230">
        <v>2136.8331999998773</v>
      </c>
      <c r="G122" s="171">
        <v>293.40825529411813</v>
      </c>
      <c r="H122" s="230">
        <v>65858.52509999997</v>
      </c>
      <c r="I122" s="230">
        <v>27141.829678823648</v>
      </c>
      <c r="J122" s="170">
        <v>290815.04510000005</v>
      </c>
    </row>
    <row r="123">
      <c r="A123" s="229">
        <v>43612.975542280095</v>
      </c>
      <c r="B123" s="21">
        <v>0.15948122649751187</v>
      </c>
      <c r="C123" s="21">
        <v>0.043437935480511225</v>
      </c>
      <c r="D123" s="21">
        <v>0.18213718111872204</v>
      </c>
      <c r="E123" s="21">
        <v>0.0037820938841018176</v>
      </c>
      <c r="F123" s="230">
        <v>2741.2140000000363</v>
      </c>
      <c r="G123" s="171">
        <v>198.6974741176673</v>
      </c>
      <c r="H123" s="230">
        <v>63721.69190000009</v>
      </c>
      <c r="I123" s="230">
        <v>26848.42142352953</v>
      </c>
      <c r="J123" s="170">
        <v>288678.21190000017</v>
      </c>
    </row>
    <row r="124">
      <c r="A124" s="229">
        <v>43609.975521319444</v>
      </c>
      <c r="B124" s="21">
        <v>0.15199402924973568</v>
      </c>
      <c r="C124" s="21">
        <v>0.04353763999959427</v>
      </c>
      <c r="D124" s="21">
        <v>0.17470198682723018</v>
      </c>
      <c r="E124" s="21">
        <v>-0.00276864961480386</v>
      </c>
      <c r="F124" s="230">
        <v>-1999.0928999999305</v>
      </c>
      <c r="G124" s="171">
        <v>295.1081400000039</v>
      </c>
      <c r="H124" s="230">
        <v>60980.477900000056</v>
      </c>
      <c r="I124" s="230">
        <v>26649.723949411862</v>
      </c>
      <c r="J124" s="170">
        <v>285936.99790000013</v>
      </c>
    </row>
    <row r="125">
      <c r="A125" s="229">
        <v>43608.97554622685</v>
      </c>
      <c r="B125" s="21">
        <v>0.1578419648451121</v>
      </c>
      <c r="C125" s="21">
        <v>0.04357097663052811</v>
      </c>
      <c r="D125" s="21">
        <v>0.1805673098326966</v>
      </c>
      <c r="E125" s="21">
        <v>7.35091349139296E-4</v>
      </c>
      <c r="F125" s="230">
        <v>533.0239999999758</v>
      </c>
      <c r="G125" s="171">
        <v>513.3576345098991</v>
      </c>
      <c r="H125" s="230">
        <v>62979.57079999999</v>
      </c>
      <c r="I125" s="230">
        <v>26354.61580941186</v>
      </c>
      <c r="J125" s="170">
        <v>287936.09080000006</v>
      </c>
    </row>
    <row r="126">
      <c r="A126" s="229">
        <v>43607.97554151621</v>
      </c>
      <c r="B126" s="21">
        <v>0.15643352437909475</v>
      </c>
      <c r="C126" s="21">
        <v>0.04360436435208407</v>
      </c>
      <c r="D126" s="21">
        <v>0.17917628342414094</v>
      </c>
      <c r="E126" s="21">
        <v>0.0014780397541706656</v>
      </c>
      <c r="F126" s="230">
        <v>1076.1509999999544</v>
      </c>
      <c r="G126" s="171">
        <v>246.47132078418144</v>
      </c>
      <c r="H126" s="230">
        <v>62446.54680000001</v>
      </c>
      <c r="I126" s="230">
        <v>25841.25817490196</v>
      </c>
      <c r="J126" s="170">
        <v>287403.0668000001</v>
      </c>
    </row>
    <row r="127">
      <c r="A127" s="229">
        <v>43606.97556091435</v>
      </c>
      <c r="B127" s="21">
        <v>0.1534633482079454</v>
      </c>
      <c r="C127" s="21">
        <v>0.043637803281801925</v>
      </c>
      <c r="D127" s="21">
        <v>0.17622354801913045</v>
      </c>
      <c r="E127" s="21">
        <v>9.540750160554265E-4</v>
      </c>
      <c r="F127" s="230">
        <v>693.6289999999572</v>
      </c>
      <c r="G127" s="171">
        <v>243.3094384314063</v>
      </c>
      <c r="H127" s="230">
        <v>61370.39580000006</v>
      </c>
      <c r="I127" s="230">
        <v>25594.786854117778</v>
      </c>
      <c r="J127" s="170">
        <v>286326.91580000013</v>
      </c>
    </row>
    <row r="128">
      <c r="A128" s="229">
        <v>43605.97554951389</v>
      </c>
      <c r="B128" s="21">
        <v>0.15158785833745853</v>
      </c>
      <c r="C128" s="21">
        <v>0.04367129353758228</v>
      </c>
      <c r="D128" s="21">
        <v>0.17436552568495303</v>
      </c>
      <c r="E128" s="21">
        <v>-0.004111311941146843</v>
      </c>
      <c r="F128" s="230">
        <v>-2986.1429999999236</v>
      </c>
      <c r="G128" s="171">
        <v>245.20157960781216</v>
      </c>
      <c r="H128" s="230">
        <v>60676.7668000001</v>
      </c>
      <c r="I128" s="230">
        <v>25351.47741568637</v>
      </c>
      <c r="J128" s="170">
        <v>285633.2868000002</v>
      </c>
    </row>
    <row r="129">
      <c r="A129" s="229">
        <v>43602.975541527776</v>
      </c>
      <c r="B129" s="21">
        <v>0.16053869448323677</v>
      </c>
      <c r="C129" s="21">
        <v>0.04377207344574593</v>
      </c>
      <c r="D129" s="21">
        <v>0.18336892567845622</v>
      </c>
      <c r="E129" s="21">
        <v>1.493604014522835E-5</v>
      </c>
      <c r="F129" s="230">
        <v>10.893000000040047</v>
      </c>
      <c r="G129" s="171">
        <v>563.4177996442777</v>
      </c>
      <c r="H129" s="230">
        <v>63662.90980000002</v>
      </c>
      <c r="I129" s="230">
        <v>25106.27583607856</v>
      </c>
      <c r="J129" s="170">
        <v>288619.4298000001</v>
      </c>
    </row>
    <row r="130">
      <c r="A130" s="229">
        <v>43601.97555957176</v>
      </c>
      <c r="B130" s="21">
        <v>0.16063088148122776</v>
      </c>
      <c r="C130" s="21">
        <v>0.043805770192047504</v>
      </c>
      <c r="D130" s="21">
        <v>0.18347868791216332</v>
      </c>
      <c r="E130" s="21">
        <v>0.0034880761247867323</v>
      </c>
      <c r="F130" s="230">
        <v>2543.8499999998603</v>
      </c>
      <c r="G130" s="171">
        <v>167.11116250422856</v>
      </c>
      <c r="H130" s="230">
        <v>63652.01679999998</v>
      </c>
      <c r="I130" s="230">
        <v>24542.85803643428</v>
      </c>
      <c r="J130" s="170">
        <v>288608.53680000006</v>
      </c>
    </row>
    <row r="131">
      <c r="A131" s="229">
        <v>43600.97568125</v>
      </c>
      <c r="B131" s="21">
        <v>0.15341626730013985</v>
      </c>
      <c r="C131" s="21">
        <v>0.04383951885937574</v>
      </c>
      <c r="D131" s="21">
        <v>0.17628167604727799</v>
      </c>
      <c r="E131" s="21">
        <v>0.003842000257355614</v>
      </c>
      <c r="F131" s="230">
        <v>2792.1930000000866</v>
      </c>
      <c r="G131" s="171">
        <v>229.6512887736826</v>
      </c>
      <c r="H131" s="230">
        <v>61108.16680000012</v>
      </c>
      <c r="I131" s="230">
        <v>24375.746873930053</v>
      </c>
      <c r="J131" s="170">
        <v>286064.6868000002</v>
      </c>
    </row>
    <row r="132">
      <c r="A132" s="229">
        <v>43599.97562747685</v>
      </c>
      <c r="B132" s="21">
        <v>0.14547356865254268</v>
      </c>
      <c r="C132" s="21">
        <v>0.043873319567825524</v>
      </c>
      <c r="D132" s="21">
        <v>0.16835660685900783</v>
      </c>
      <c r="E132" s="21">
        <v>0.00433074523900956</v>
      </c>
      <c r="F132" s="230">
        <v>3139.9097999999067</v>
      </c>
      <c r="G132" s="171">
        <v>171.9684355499303</v>
      </c>
      <c r="H132" s="230">
        <v>58315.973800000036</v>
      </c>
      <c r="I132" s="230">
        <v>24146.09558515637</v>
      </c>
      <c r="J132" s="170">
        <v>283272.4938000001</v>
      </c>
    </row>
    <row r="133">
      <c r="A133" s="229">
        <v>43598.97569363426</v>
      </c>
      <c r="B133" s="21">
        <v>0.13651398937452033</v>
      </c>
      <c r="C133" s="21">
        <v>0.04390717243786243</v>
      </c>
      <c r="D133" s="21">
        <v>0.15941468424626828</v>
      </c>
      <c r="E133" s="21">
        <v>0.0014832185940067387</v>
      </c>
      <c r="F133" s="230">
        <v>1065.8420000000624</v>
      </c>
      <c r="G133" s="171">
        <v>395.4789606299564</v>
      </c>
      <c r="H133" s="230">
        <v>55176.06400000013</v>
      </c>
      <c r="I133" s="230">
        <v>23974.12714960644</v>
      </c>
      <c r="J133" s="170">
        <v>280132.5840000002</v>
      </c>
    </row>
    <row r="134">
      <c r="A134" s="229">
        <v>43595.97561037037</v>
      </c>
      <c r="B134" s="21">
        <v>0.13374415160900405</v>
      </c>
      <c r="C134" s="21">
        <v>0.04400904522774146</v>
      </c>
      <c r="D134" s="21">
        <v>0.15669798034356344</v>
      </c>
      <c r="E134" s="21">
        <v>-1.9834180599040716E-4</v>
      </c>
      <c r="F134" s="230">
        <v>-142.77700000000186</v>
      </c>
      <c r="G134" s="171">
        <v>228.378314960617</v>
      </c>
      <c r="H134" s="230">
        <v>54110.22200000007</v>
      </c>
      <c r="I134" s="230">
        <v>23578.648188976484</v>
      </c>
      <c r="J134" s="170">
        <v>279566.74200000014</v>
      </c>
    </row>
    <row r="135">
      <c r="A135" s="229">
        <v>43594.975676284725</v>
      </c>
      <c r="B135" s="21">
        <v>0.1342614571877629</v>
      </c>
      <c r="C135" s="21">
        <v>0.04404310795624591</v>
      </c>
      <c r="D135" s="21">
        <v>0.1572330520436339</v>
      </c>
      <c r="E135" s="21">
        <v>-0.007449758832638305</v>
      </c>
      <c r="F135" s="230">
        <v>-5363.7970000000205</v>
      </c>
      <c r="G135" s="171">
        <v>229.0527047244541</v>
      </c>
      <c r="H135" s="230">
        <v>54252.99900000007</v>
      </c>
      <c r="I135" s="230">
        <v>23350.269874015867</v>
      </c>
      <c r="J135" s="170">
        <v>279709.51900000015</v>
      </c>
    </row>
    <row r="136">
      <c r="A136" s="229">
        <v>43593.975623425926</v>
      </c>
      <c r="B136" s="21">
        <v>0.14992255720748204</v>
      </c>
      <c r="C136" s="21">
        <v>0.04407722345427553</v>
      </c>
      <c r="D136" s="21">
        <v>0.17291194570770307</v>
      </c>
      <c r="E136" s="21">
        <v>-0.001734147526355597</v>
      </c>
      <c r="F136" s="230">
        <v>-1257.8810000000522</v>
      </c>
      <c r="G136" s="171">
        <v>569.9672874015596</v>
      </c>
      <c r="H136" s="230">
        <v>59616.79600000009</v>
      </c>
      <c r="I136" s="230">
        <v>23121.217169291413</v>
      </c>
      <c r="J136" s="170">
        <v>285073.31600000017</v>
      </c>
    </row>
    <row r="137">
      <c r="A137" s="229">
        <v>43592.97561809028</v>
      </c>
      <c r="B137" s="21">
        <v>0.15368994961282198</v>
      </c>
      <c r="C137" s="21">
        <v>0.044111391844550166</v>
      </c>
      <c r="D137" s="21">
        <v>0.17669715934443847</v>
      </c>
      <c r="E137" s="21">
        <v>4.982025248714331E-4</v>
      </c>
      <c r="F137" s="230">
        <v>364.29530000011437</v>
      </c>
      <c r="G137" s="171">
        <v>345.4710783464616</v>
      </c>
      <c r="H137" s="230">
        <v>60874.67700000014</v>
      </c>
      <c r="I137" s="230">
        <v>22551.249881889853</v>
      </c>
      <c r="J137" s="170">
        <v>286331.1970000002</v>
      </c>
    </row>
    <row r="138">
      <c r="A138" s="229">
        <v>43591.975612152775</v>
      </c>
      <c r="B138" s="21">
        <v>0.15275094376438997</v>
      </c>
      <c r="C138" s="21">
        <v>0.044145613250170454</v>
      </c>
      <c r="D138" s="21">
        <v>0.1757760023786532</v>
      </c>
      <c r="E138" s="21">
        <v>-5.621038966049825E-4</v>
      </c>
      <c r="F138" s="230">
        <v>-411.4688333332888</v>
      </c>
      <c r="G138" s="171">
        <v>586.3769633858028</v>
      </c>
      <c r="H138" s="230">
        <v>60510.38170000003</v>
      </c>
      <c r="I138" s="230">
        <v>22205.77880354339</v>
      </c>
      <c r="J138" s="170">
        <v>285966.9017000001</v>
      </c>
    </row>
    <row r="139">
      <c r="A139" s="229">
        <v>43588.97567346065</v>
      </c>
      <c r="B139" s="21">
        <v>0.15429805461936905</v>
      </c>
      <c r="C139" s="21">
        <v>0.04424859679585514</v>
      </c>
      <c r="D139" s="21">
        <v>0.17738411530610107</v>
      </c>
      <c r="E139" s="21">
        <v>0.004151441443614708</v>
      </c>
      <c r="F139" s="230">
        <v>3061.0572000000393</v>
      </c>
      <c r="G139" s="171">
        <v>360.62513267714894</v>
      </c>
      <c r="H139" s="230">
        <v>60921.850533333316</v>
      </c>
      <c r="I139" s="230">
        <v>21619.40184015759</v>
      </c>
      <c r="J139" s="170">
        <v>286375.86720000004</v>
      </c>
    </row>
    <row r="140">
      <c r="A140" s="229">
        <v>43587.97564416667</v>
      </c>
      <c r="B140" s="21">
        <v>0.14549841700821908</v>
      </c>
      <c r="C140" s="21">
        <v>0.04428303150153285</v>
      </c>
      <c r="D140" s="21">
        <v>0.16860244350093304</v>
      </c>
      <c r="E140" s="21">
        <v>-0.002543957247593961</v>
      </c>
      <c r="F140" s="230">
        <v>-1871.117366666731</v>
      </c>
      <c r="G140" s="171">
        <v>414.11252434310154</v>
      </c>
      <c r="H140" s="230">
        <v>57860.79333333328</v>
      </c>
      <c r="I140" s="230">
        <v>21258.77670748044</v>
      </c>
      <c r="J140" s="170">
        <v>284365.23000000004</v>
      </c>
    </row>
    <row r="141">
      <c r="A141" s="229">
        <v>43585.975535219906</v>
      </c>
      <c r="B141" s="21">
        <v>0.15679535711783452</v>
      </c>
      <c r="C141" s="21">
        <v>0.04648933063111279</v>
      </c>
      <c r="D141" s="21">
        <v>0.18272662668687267</v>
      </c>
      <c r="E141" s="21">
        <v>-0.003929887294238058</v>
      </c>
      <c r="F141" s="230">
        <v>-2895.6889999998966</v>
      </c>
      <c r="G141" s="171">
        <v>166.04423825540653</v>
      </c>
      <c r="H141" s="230">
        <v>59731.91070000001</v>
      </c>
      <c r="I141" s="230">
        <v>20844.664183137338</v>
      </c>
      <c r="J141" s="170">
        <v>285688.4307000001</v>
      </c>
    </row>
    <row r="142">
      <c r="A142" s="229">
        <v>43584.97560777778</v>
      </c>
      <c r="B142" s="21">
        <v>0.16578281011959256</v>
      </c>
      <c r="C142" s="21">
        <v>0.04652559375953019</v>
      </c>
      <c r="D142" s="21">
        <v>0.19173430688798254</v>
      </c>
      <c r="E142" s="21">
        <v>-0.002216751453070978</v>
      </c>
      <c r="F142" s="230">
        <v>-1639.8050000000512</v>
      </c>
      <c r="G142" s="171">
        <v>422.2977704724617</v>
      </c>
      <c r="H142" s="230">
        <v>62627.599699999904</v>
      </c>
      <c r="I142" s="230">
        <v>20678.61994488193</v>
      </c>
      <c r="J142" s="170">
        <v>288584.1197</v>
      </c>
    </row>
    <row r="143">
      <c r="A143" s="229">
        <v>43581.97563049768</v>
      </c>
      <c r="B143" s="21">
        <v>0.17120373415945572</v>
      </c>
      <c r="C143" s="21">
        <v>0.04663472337741807</v>
      </c>
      <c r="D143" s="21">
        <v>0.19721607161736368</v>
      </c>
      <c r="E143" s="21">
        <v>6.983385537771269E-4</v>
      </c>
      <c r="F143" s="230">
        <v>518.6040000000503</v>
      </c>
      <c r="G143" s="171">
        <v>330.4693570866257</v>
      </c>
      <c r="H143" s="230">
        <v>64267.404699999955</v>
      </c>
      <c r="I143" s="230">
        <v>20256.32217440947</v>
      </c>
      <c r="J143" s="170">
        <v>290223.93470000004</v>
      </c>
    </row>
    <row r="144">
      <c r="A144" s="229">
        <v>43580.975545625</v>
      </c>
      <c r="B144" s="21">
        <v>0.16974502164467206</v>
      </c>
      <c r="C144" s="21">
        <v>0.04667121377129712</v>
      </c>
      <c r="D144" s="21">
        <v>0.19577771304425287</v>
      </c>
      <c r="E144" s="21">
        <v>0.003922892665384001</v>
      </c>
      <c r="F144" s="230">
        <v>2911.205600000103</v>
      </c>
      <c r="G144" s="171">
        <v>670.227791048248</v>
      </c>
      <c r="H144" s="230">
        <v>63748.800699999905</v>
      </c>
      <c r="I144" s="230">
        <v>19925.852817322844</v>
      </c>
      <c r="J144" s="170">
        <v>289705.3307</v>
      </c>
    </row>
    <row r="145">
      <c r="A145" s="229">
        <v>43579.89794879629</v>
      </c>
      <c r="B145" s="21">
        <v>0.16105651887172234</v>
      </c>
      <c r="C145" s="21">
        <v>0.0467443661439794</v>
      </c>
      <c r="D145" s="21">
        <v>0.18713001386283856</v>
      </c>
      <c r="E145" s="21">
        <v>0.005808953666220856</v>
      </c>
      <c r="F145" s="230">
        <v>4307.0945000000065</v>
      </c>
      <c r="G145" s="171">
        <v>797.1551892666284</v>
      </c>
      <c r="H145" s="230">
        <v>60837.5950999998</v>
      </c>
      <c r="I145" s="230">
        <v>19255.625026274596</v>
      </c>
      <c r="J145" s="170">
        <v>286794.1250999999</v>
      </c>
    </row>
    <row r="146">
      <c r="A146" s="229">
        <v>43578.97560277778</v>
      </c>
      <c r="B146" s="21">
        <v>0.14780835131728923</v>
      </c>
      <c r="C146" s="21">
        <v>0.0467443661439794</v>
      </c>
      <c r="D146" s="21">
        <v>0.17388184630840545</v>
      </c>
      <c r="E146" s="21">
        <v>0.004399806397940702</v>
      </c>
      <c r="F146" s="230">
        <v>3284.6078000001144</v>
      </c>
      <c r="G146" s="171">
        <v>770.2663057578502</v>
      </c>
      <c r="H146" s="230">
        <v>56530.500599999796</v>
      </c>
      <c r="I146" s="230">
        <v>18458.469837007968</v>
      </c>
      <c r="J146" s="170">
        <v>282487.0305999999</v>
      </c>
    </row>
    <row r="147">
      <c r="A147" s="229">
        <v>43573.97544317129</v>
      </c>
      <c r="B147" s="21">
        <v>0.13824696488847563</v>
      </c>
      <c r="C147" s="21">
        <v>0.04692825428774013</v>
      </c>
      <c r="D147" s="21">
        <v>0.16442303067027286</v>
      </c>
      <c r="E147" s="21">
        <v>0.006392996938030246</v>
      </c>
      <c r="F147" s="230">
        <v>4766.672299999991</v>
      </c>
      <c r="G147" s="171">
        <v>598.5336855469031</v>
      </c>
      <c r="H147" s="230">
        <v>53245.89279999968</v>
      </c>
      <c r="I147" s="230">
        <v>17688.203531250118</v>
      </c>
      <c r="J147" s="170">
        <v>279216.2027999999</v>
      </c>
    </row>
    <row r="148">
      <c r="A148" s="229">
        <v>43572.97561418981</v>
      </c>
      <c r="B148" s="21">
        <v>0.12362474130469611</v>
      </c>
      <c r="C148" s="21">
        <v>0.0468940949641638</v>
      </c>
      <c r="D148" s="21">
        <v>0.14982144906617323</v>
      </c>
      <c r="E148" s="21">
        <v>-7.941402535999017E-4</v>
      </c>
      <c r="F148" s="230">
        <v>-592.1540000000969</v>
      </c>
      <c r="G148" s="171">
        <v>291.0516269531072</v>
      </c>
      <c r="H148" s="230">
        <v>48479.22049999969</v>
      </c>
      <c r="I148" s="230">
        <v>17089.669845703214</v>
      </c>
      <c r="J148" s="170">
        <v>274465.65049999993</v>
      </c>
    </row>
    <row r="149">
      <c r="A149" s="229">
        <v>43571.97564483796</v>
      </c>
      <c r="B149" s="21">
        <v>0.1255536106010848</v>
      </c>
      <c r="C149" s="21">
        <v>0.046931048545695846</v>
      </c>
      <c r="D149" s="21">
        <v>0.1517709619462983</v>
      </c>
      <c r="E149" s="21">
        <v>-0.0015817873340589915</v>
      </c>
      <c r="F149" s="230">
        <v>-1180.4030000000494</v>
      </c>
      <c r="G149" s="171">
        <v>382.6089628906193</v>
      </c>
      <c r="H149" s="230">
        <v>49071.37449999979</v>
      </c>
      <c r="I149" s="230">
        <v>16798.618218750107</v>
      </c>
      <c r="J149" s="170">
        <v>275057.8045</v>
      </c>
    </row>
    <row r="150">
      <c r="A150" s="229">
        <v>43570.975653437505</v>
      </c>
      <c r="B150" s="21">
        <v>0.1293063297631293</v>
      </c>
      <c r="C150" s="21">
        <v>0.04696806041363409</v>
      </c>
      <c r="D150" s="21">
        <v>0.15554435725293683</v>
      </c>
      <c r="E150" s="21">
        <v>4.000646562529695E-4</v>
      </c>
      <c r="F150" s="230">
        <v>299.5089999999618</v>
      </c>
      <c r="G150" s="171">
        <v>402.1216933594442</v>
      </c>
      <c r="H150" s="230">
        <v>50251.77749999984</v>
      </c>
      <c r="I150" s="230">
        <v>16416.009255859488</v>
      </c>
      <c r="J150" s="170">
        <v>276238.2075000001</v>
      </c>
    </row>
    <row r="151">
      <c r="A151" s="229">
        <v>43567.97559715278</v>
      </c>
      <c r="B151" s="21">
        <v>0.12868371611609508</v>
      </c>
      <c r="C151" s="21">
        <v>0.04707944711817236</v>
      </c>
      <c r="D151" s="21">
        <v>0.15498396817702467</v>
      </c>
      <c r="E151" s="21">
        <v>-0.002544752018595485</v>
      </c>
      <c r="F151" s="230">
        <v>-1907.474500000244</v>
      </c>
      <c r="G151" s="171">
        <v>79.345421347898</v>
      </c>
      <c r="H151" s="230">
        <v>49952.268499999875</v>
      </c>
      <c r="I151" s="230">
        <v>16013.887562500044</v>
      </c>
      <c r="J151" s="170">
        <v>275938.6985000001</v>
      </c>
    </row>
    <row r="152">
      <c r="A152" s="229">
        <v>43566.97564020833</v>
      </c>
      <c r="B152" s="21">
        <v>0.13773007595840908</v>
      </c>
      <c r="C152" s="21">
        <v>0.044095031582766966</v>
      </c>
      <c r="D152" s="21">
        <v>0.16102947324733735</v>
      </c>
      <c r="E152" s="21">
        <v>-0.0015316373595653226</v>
      </c>
      <c r="F152" s="230">
        <v>-693.9020000000601</v>
      </c>
      <c r="G152" s="231">
        <v>36.5345786521024</v>
      </c>
      <c r="H152" s="230">
        <v>51859.74300000012</v>
      </c>
      <c r="I152" s="230">
        <v>15934.542141152146</v>
      </c>
      <c r="J152" s="170">
        <v>278819.30300000025</v>
      </c>
    </row>
    <row r="153">
      <c r="A153" s="229">
        <v>43565.97559818287</v>
      </c>
      <c r="B153" s="21">
        <v>0.13999546409041944</v>
      </c>
      <c r="C153" s="21">
        <v>0.044129944513553</v>
      </c>
      <c r="D153" s="21">
        <v>0.16331330904149255</v>
      </c>
      <c r="E153" s="21">
        <v>0.002726040433064516</v>
      </c>
      <c r="F153" s="230">
        <v>1236.9130000000005</v>
      </c>
      <c r="G153" s="171">
        <v>69.20622845833633</v>
      </c>
      <c r="H153" s="230">
        <v>52553.64500000018</v>
      </c>
      <c r="I153" s="230">
        <v>15898.007562500043</v>
      </c>
      <c r="J153" s="170">
        <v>279638.28500000027</v>
      </c>
    </row>
    <row r="154">
      <c r="A154" s="229">
        <v>43564.97563767361</v>
      </c>
      <c r="B154" s="21">
        <v>0.136259575344721</v>
      </c>
      <c r="C154" s="21">
        <v>0.04416491277386485</v>
      </c>
      <c r="D154" s="21">
        <v>0.15959589719353667</v>
      </c>
      <c r="E154" s="21">
        <v>-0.0017553192457968596</v>
      </c>
      <c r="F154" s="230">
        <v>-794.286999999953</v>
      </c>
      <c r="G154" s="171">
        <v>20.539011219094824</v>
      </c>
      <c r="H154" s="230">
        <v>51316.73200000018</v>
      </c>
      <c r="I154" s="230">
        <v>15828.801334041706</v>
      </c>
      <c r="J154" s="170">
        <v>277285.2220000003</v>
      </c>
    </row>
    <row r="155">
      <c r="A155" s="229">
        <v>43563.97568585648</v>
      </c>
      <c r="B155" s="21">
        <v>0.13883983695500174</v>
      </c>
      <c r="C155" s="21">
        <v>0.044199936495335004</v>
      </c>
      <c r="D155" s="21">
        <v>0.16219466500671098</v>
      </c>
      <c r="E155" s="21">
        <v>-0.002640356278959247</v>
      </c>
      <c r="F155" s="230">
        <v>-1196.8660000000382</v>
      </c>
      <c r="G155" s="171">
        <v>44.21496721596076</v>
      </c>
      <c r="H155" s="230">
        <v>52111.01900000013</v>
      </c>
      <c r="I155" s="230">
        <v>15808.262322822611</v>
      </c>
      <c r="J155" s="170">
        <v>278079.50900000025</v>
      </c>
    </row>
    <row r="156">
      <c r="A156" s="229">
        <v>43560.97554396991</v>
      </c>
      <c r="B156" s="21">
        <v>0.14290504240639454</v>
      </c>
      <c r="C156" s="21">
        <v>0.04430534174929844</v>
      </c>
      <c r="D156" s="21">
        <v>0.1663155655965419</v>
      </c>
      <c r="E156" s="21">
        <v>0.0038188070789270732</v>
      </c>
      <c r="F156" s="230">
        <v>1735.6250000000582</v>
      </c>
      <c r="G156" s="171">
        <v>13.64316850874626</v>
      </c>
      <c r="H156" s="230">
        <v>53307.88500000017</v>
      </c>
      <c r="I156" s="230">
        <v>15764.04735560665</v>
      </c>
      <c r="J156" s="170">
        <v>279276.3750000003</v>
      </c>
    </row>
    <row r="157">
      <c r="A157" s="229">
        <v>43559.97564106481</v>
      </c>
      <c r="B157" s="21">
        <v>0.13759943587788667</v>
      </c>
      <c r="C157" s="21">
        <v>0.04434058864010934</v>
      </c>
      <c r="D157" s="21">
        <v>0.16102858319149477</v>
      </c>
      <c r="E157" s="21">
        <v>-3.6903723773483904E-4</v>
      </c>
      <c r="F157" s="230">
        <v>-168.04999999998836</v>
      </c>
      <c r="G157" s="171">
        <v>7.00290058127797</v>
      </c>
      <c r="H157" s="230">
        <v>51572.26000000011</v>
      </c>
      <c r="I157" s="230">
        <v>15750.404187097904</v>
      </c>
      <c r="J157" s="170">
        <v>277540.75000000023</v>
      </c>
    </row>
    <row r="158">
      <c r="A158" s="229">
        <v>43558.97564258102</v>
      </c>
      <c r="B158" s="21">
        <v>0.13823412456723724</v>
      </c>
      <c r="C158" s="21">
        <v>0.04437589165654254</v>
      </c>
      <c r="D158" s="21">
        <v>0.1616819256605536</v>
      </c>
      <c r="E158" s="21">
        <v>-9.532158549980531E-4</v>
      </c>
      <c r="F158" s="230">
        <v>-434.22999999990134</v>
      </c>
      <c r="G158" s="171">
        <v>13.735688830905238</v>
      </c>
      <c r="H158" s="230">
        <v>51740.3100000001</v>
      </c>
      <c r="I158" s="230">
        <v>15743.401286516626</v>
      </c>
      <c r="J158" s="170">
        <v>277708.8000000002</v>
      </c>
    </row>
    <row r="159">
      <c r="A159" s="229">
        <v>43526.0</v>
      </c>
      <c r="B159" s="21">
        <v>0.1397</v>
      </c>
      <c r="C159" s="21">
        <v>0.0444</v>
      </c>
      <c r="D159" s="21">
        <v>0.1632</v>
      </c>
      <c r="E159" s="21">
        <v>0.0034</v>
      </c>
      <c r="F159" s="230">
        <v>1542.98</v>
      </c>
      <c r="G159" s="171">
        <v>7.288645570181151</v>
      </c>
      <c r="H159" s="230">
        <v>52174.54</v>
      </c>
      <c r="I159" s="230">
        <v>15729.66559768572</v>
      </c>
      <c r="J159" s="170">
        <v>278126.82</v>
      </c>
    </row>
    <row r="160">
      <c r="A160" s="229">
        <v>43556.9756159838</v>
      </c>
      <c r="B160" s="21">
        <v>0.13493363868649866</v>
      </c>
      <c r="C160" s="21">
        <v>0.044446666603363195</v>
      </c>
      <c r="D160" s="21">
        <v>0.1584695767964733</v>
      </c>
      <c r="E160" s="21">
        <v>0.0038411764472997927</v>
      </c>
      <c r="F160" s="230">
        <v>1761.6066666667175</v>
      </c>
      <c r="G160" s="171">
        <v>45.19783281512932</v>
      </c>
      <c r="H160" s="230">
        <v>50631.56466666686</v>
      </c>
      <c r="I160" s="230">
        <v>15722.37695211554</v>
      </c>
      <c r="J160" s="170">
        <v>276583.8430000003</v>
      </c>
    </row>
    <row r="161">
      <c r="A161" s="229">
        <v>43553.97584701389</v>
      </c>
      <c r="B161" s="21">
        <v>0.13425271373643816</v>
      </c>
      <c r="C161" s="21">
        <v>0.046788315682355995</v>
      </c>
      <c r="D161" s="21">
        <v>0.16101440492248253</v>
      </c>
      <c r="E161" s="21">
        <v>0.0043553499686326625</v>
      </c>
      <c r="F161" s="232">
        <v>1987.115000000049</v>
      </c>
      <c r="G161" s="171">
        <v>14.914566642500853</v>
      </c>
      <c r="H161" s="230">
        <v>48869.958000000144</v>
      </c>
      <c r="I161" s="230">
        <v>15677.17911930041</v>
      </c>
      <c r="J161" s="170">
        <v>275338.44800000027</v>
      </c>
    </row>
    <row r="162">
      <c r="A162" s="229">
        <v>43552.97569547454</v>
      </c>
      <c r="B162" s="21">
        <v>0.12780782661450554</v>
      </c>
      <c r="C162" s="21">
        <v>0.04682574633490188</v>
      </c>
      <c r="D162" s="21">
        <v>0.15459092715349879</v>
      </c>
      <c r="E162" s="21">
        <v>-0.001074647144158848</v>
      </c>
      <c r="F162" s="232">
        <v>-488.1690000001108</v>
      </c>
      <c r="G162" s="171">
        <v>51.58469308246169</v>
      </c>
      <c r="H162" s="230">
        <v>46882.843000000095</v>
      </c>
      <c r="I162" s="230">
        <v>15662.264552657909</v>
      </c>
      <c r="J162" s="170">
        <v>273351.3330000003</v>
      </c>
    </row>
    <row r="163">
      <c r="A163" s="229">
        <v>43551.975784270835</v>
      </c>
      <c r="B163" s="21">
        <v>0.1295211261517298</v>
      </c>
      <c r="C163" s="21">
        <v>0.046863236924441436</v>
      </c>
      <c r="D163" s="21">
        <v>0.1563256703260625</v>
      </c>
      <c r="E163" s="21">
        <v>2.709192950547475E-6</v>
      </c>
      <c r="F163" s="232">
        <v>1.2320000000181608</v>
      </c>
      <c r="G163" s="171">
        <v>7.661998495716356</v>
      </c>
      <c r="H163" s="230">
        <v>47371.012000000206</v>
      </c>
      <c r="I163" s="230">
        <v>15610.679859575448</v>
      </c>
      <c r="J163" s="170">
        <v>273839.5020000003</v>
      </c>
    </row>
    <row r="164">
      <c r="A164" s="229">
        <v>43550.97580263889</v>
      </c>
      <c r="B164" s="21">
        <v>0.12962084021304812</v>
      </c>
      <c r="C164" s="21">
        <v>0.04690078759505397</v>
      </c>
      <c r="D164" s="21">
        <v>0.15644686238752048</v>
      </c>
      <c r="E164" s="21">
        <v>0.004457025904133115</v>
      </c>
      <c r="F164" s="232">
        <v>2026.8180000000866</v>
      </c>
      <c r="G164" s="171">
        <v>8.219956572880749</v>
      </c>
      <c r="H164" s="230">
        <v>47369.78000000019</v>
      </c>
      <c r="I164" s="230">
        <v>15603.017861079732</v>
      </c>
      <c r="J164" s="170">
        <v>273838.2700000003</v>
      </c>
    </row>
    <row r="165">
      <c r="A165" s="229">
        <v>43549.9760040625</v>
      </c>
      <c r="B165" s="21">
        <v>0.12302550258347839</v>
      </c>
      <c r="C165" s="21">
        <v>0.04693839849128095</v>
      </c>
      <c r="D165" s="21">
        <v>0.1498730372055646</v>
      </c>
      <c r="E165" s="21">
        <v>-0.008768818705788606</v>
      </c>
      <c r="F165" s="232">
        <v>-3969.818920516758</v>
      </c>
      <c r="G165" s="171">
        <v>53.33924557750277</v>
      </c>
      <c r="H165" s="230">
        <v>45342.9620000001</v>
      </c>
      <c r="I165" s="230">
        <v>15594.797904506851</v>
      </c>
      <c r="J165" s="170">
        <v>271811.4520000003</v>
      </c>
    </row>
    <row r="166">
      <c r="A166" s="229">
        <v>43546.97561252315</v>
      </c>
      <c r="B166" s="21">
        <v>0.13647535663410504</v>
      </c>
      <c r="C166" s="21">
        <v>0.04705159398603485</v>
      </c>
      <c r="D166" s="21">
        <v>0.16338763611460466</v>
      </c>
      <c r="E166" s="21">
        <v>0.008916471722208642</v>
      </c>
      <c r="F166" s="232">
        <v>6755.775326436502</v>
      </c>
      <c r="G166" s="171">
        <v>47.0609872398583</v>
      </c>
      <c r="H166" s="230">
        <v>49312.78092051686</v>
      </c>
      <c r="I166" s="230">
        <v>15541.458658929349</v>
      </c>
      <c r="J166" s="170">
        <v>275746.44499999995</v>
      </c>
    </row>
    <row r="167">
      <c r="A167" s="229">
        <v>43545.975588726855</v>
      </c>
      <c r="B167" s="21">
        <v>0.11418328837829529</v>
      </c>
      <c r="C167" s="21">
        <v>0.04708944723944276</v>
      </c>
      <c r="D167" s="21">
        <v>0.14111721892836893</v>
      </c>
      <c r="E167" s="21">
        <v>0.006984233166929524</v>
      </c>
      <c r="F167" s="232">
        <v>5244.585252995108</v>
      </c>
      <c r="G167" s="171">
        <v>50.11006839277017</v>
      </c>
      <c r="H167" s="230">
        <v>42557.00559408036</v>
      </c>
      <c r="I167" s="230">
        <v>15494.39767168949</v>
      </c>
      <c r="J167" s="170">
        <v>269315.495</v>
      </c>
    </row>
    <row r="168">
      <c r="A168" s="229">
        <v>43544.975511666664</v>
      </c>
      <c r="B168" s="21">
        <v>0.09687039968075103</v>
      </c>
      <c r="C168" s="21">
        <v>0.04712736144817017</v>
      </c>
      <c r="D168" s="21">
        <v>0.12382601616524501</v>
      </c>
      <c r="E168" s="21">
        <v>-0.0021566447874893408</v>
      </c>
      <c r="F168" s="232">
        <v>-1608.1523285183357</v>
      </c>
      <c r="G168" s="171">
        <v>52.73570549965325</v>
      </c>
      <c r="H168" s="230">
        <v>37312.42034108525</v>
      </c>
      <c r="I168" s="230">
        <v>15444.28760329672</v>
      </c>
      <c r="J168" s="170">
        <v>263688.231</v>
      </c>
    </row>
    <row r="169">
      <c r="A169" s="229">
        <v>43543.97553142361</v>
      </c>
      <c r="B169" s="21">
        <v>0.10228961666412115</v>
      </c>
      <c r="C169" s="21">
        <v>0.04716533675957079</v>
      </c>
      <c r="D169" s="21">
        <v>0.12926695403216426</v>
      </c>
      <c r="E169" s="21">
        <v>-9.732146365752263E-5</v>
      </c>
      <c r="F169" s="232">
        <v>-72.72651987185236</v>
      </c>
      <c r="G169" s="171">
        <v>42.42856724014565</v>
      </c>
      <c r="H169" s="230">
        <v>38920.572669603585</v>
      </c>
      <c r="I169" s="230">
        <v>15391.551897797066</v>
      </c>
      <c r="J169" s="170">
        <v>265120.106</v>
      </c>
    </row>
    <row r="170">
      <c r="A170" s="229">
        <v>43542.97552386574</v>
      </c>
      <c r="B170" s="21">
        <v>0.10261384978132237</v>
      </c>
      <c r="C170" s="21">
        <v>0.047203373321473674</v>
      </c>
      <c r="D170" s="21">
        <v>0.1296129430665978</v>
      </c>
      <c r="E170" s="21">
        <v>0.001245582529485045</v>
      </c>
      <c r="F170" s="232">
        <v>932.1978129070485</v>
      </c>
      <c r="G170" s="171">
        <v>54.98031076234746</v>
      </c>
      <c r="H170" s="230">
        <v>38993.29918947544</v>
      </c>
      <c r="I170" s="230">
        <v>15349.12333055692</v>
      </c>
      <c r="J170" s="170">
        <v>265076.68500000006</v>
      </c>
    </row>
    <row r="171">
      <c r="A171" s="229">
        <v>43539.97556614583</v>
      </c>
      <c r="B171" s="21">
        <v>0.09975658956826469</v>
      </c>
      <c r="C171" s="21">
        <v>0.04731785199565671</v>
      </c>
      <c r="D171" s="21">
        <v>0.12682116165698057</v>
      </c>
      <c r="E171" s="21">
        <v>0.0024095982170836117</v>
      </c>
      <c r="F171" s="232">
        <v>1801.104527182877</v>
      </c>
      <c r="G171" s="171">
        <v>53.07794610171752</v>
      </c>
      <c r="H171" s="230">
        <v>38061.10137656839</v>
      </c>
      <c r="I171" s="230">
        <v>15294.143019794574</v>
      </c>
      <c r="J171" s="170">
        <v>264772.66500000015</v>
      </c>
    </row>
    <row r="172">
      <c r="A172" s="229">
        <v>43538.96140621528</v>
      </c>
      <c r="B172" s="21">
        <v>0.09383108865051297</v>
      </c>
      <c r="C172" s="21">
        <v>0.047356135047433134</v>
      </c>
      <c r="D172" s="21">
        <v>0.12091755764221324</v>
      </c>
      <c r="E172" s="21">
        <v>-0.0032143418306662765</v>
      </c>
      <c r="F172" s="232">
        <v>-2396.837587733986</v>
      </c>
      <c r="G172" s="171">
        <v>68.21610522642189</v>
      </c>
      <c r="H172" s="230">
        <v>36259.99684938551</v>
      </c>
      <c r="I172" s="230">
        <v>15241.065073692856</v>
      </c>
      <c r="J172" s="170">
        <v>262743.248</v>
      </c>
    </row>
    <row r="173">
      <c r="A173" s="229">
        <v>43537.97555106481</v>
      </c>
      <c r="B173" s="21">
        <v>0.10190636044836232</v>
      </c>
      <c r="C173" s="21">
        <v>0.047394480096054535</v>
      </c>
      <c r="D173" s="21">
        <v>0.12901476180361862</v>
      </c>
      <c r="E173" s="21">
        <v>0.002107064559807443</v>
      </c>
      <c r="F173" s="232">
        <v>1576.224672726239</v>
      </c>
      <c r="G173" s="171">
        <v>3.689090953131048</v>
      </c>
      <c r="H173" s="230">
        <v>38656.8344371195</v>
      </c>
      <c r="I173" s="230">
        <v>15172.848968466435</v>
      </c>
      <c r="J173" s="170">
        <v>265576.895</v>
      </c>
    </row>
    <row r="174">
      <c r="A174" s="229">
        <v>43536.97556723379</v>
      </c>
      <c r="B174" s="21">
        <v>0.09672412853820889</v>
      </c>
      <c r="C174" s="21">
        <v>0.047432887292242584</v>
      </c>
      <c r="D174" s="21">
        <v>0.12385449780380169</v>
      </c>
      <c r="E174" s="21">
        <v>9.614280753435705E-4</v>
      </c>
      <c r="F174" s="232">
        <v>717.6968283079332</v>
      </c>
      <c r="G174" s="171">
        <v>55.12983132064082</v>
      </c>
      <c r="H174" s="230">
        <v>37080.60976439326</v>
      </c>
      <c r="I174" s="230">
        <v>15169.159877513304</v>
      </c>
      <c r="J174" s="170">
        <v>263209.779</v>
      </c>
    </row>
    <row r="175">
      <c r="A175" s="229">
        <v>43535.97564613426</v>
      </c>
      <c r="B175" s="21">
        <v>0.09440342126320887</v>
      </c>
      <c r="C175" s="21">
        <v>0.04747135678720791</v>
      </c>
      <c r="D175" s="21">
        <v>0.12155579407240719</v>
      </c>
      <c r="E175" s="21">
        <v>0.0034277620608176946</v>
      </c>
      <c r="F175" s="232">
        <v>2556.331377117778</v>
      </c>
      <c r="G175" s="171">
        <v>52.4727254782338</v>
      </c>
      <c r="H175" s="230">
        <v>36362.912936085326</v>
      </c>
      <c r="I175" s="230">
        <v>15114.030046192664</v>
      </c>
      <c r="J175" s="170">
        <v>263776.37100000004</v>
      </c>
    </row>
    <row r="176">
      <c r="A176" s="229">
        <v>43532.998715277776</v>
      </c>
      <c r="B176" s="21">
        <v>0.08606739649437546</v>
      </c>
      <c r="C176" s="21">
        <v>0.04758714058424988</v>
      </c>
      <c r="D176" s="21">
        <v>0.1132859946031084</v>
      </c>
      <c r="E176" s="21">
        <v>-0.00185014359240408</v>
      </c>
      <c r="F176" s="232">
        <v>-1375.0570076096337</v>
      </c>
      <c r="G176" s="171">
        <v>4.7695677285625395</v>
      </c>
      <c r="H176" s="230">
        <v>33806.58155896755</v>
      </c>
      <c r="I176" s="230">
        <v>15061.55732071443</v>
      </c>
      <c r="J176" s="170">
        <v>260248.86600000015</v>
      </c>
    </row>
    <row r="177">
      <c r="A177" s="229">
        <v>43531.97566297454</v>
      </c>
      <c r="B177" s="21">
        <v>0.09074899788617193</v>
      </c>
      <c r="C177" s="21">
        <v>0.047625860796279375</v>
      </c>
      <c r="D177" s="21">
        <v>0.1179897429421048</v>
      </c>
      <c r="E177" s="21">
        <v>0.007587753389326673</v>
      </c>
      <c r="F177" s="232">
        <v>5677.675925594522</v>
      </c>
      <c r="G177" s="171">
        <v>38.68730981855362</v>
      </c>
      <c r="H177" s="230">
        <v>35181.63856657718</v>
      </c>
      <c r="I177" s="230">
        <v>15056.787752985867</v>
      </c>
      <c r="J177" s="170">
        <v>262235.6860000001</v>
      </c>
    </row>
    <row r="178">
      <c r="A178" s="229">
        <v>43530.97587299769</v>
      </c>
      <c r="B178" s="21">
        <v>0.07176599538317954</v>
      </c>
      <c r="C178" s="21">
        <v>0.04766464407054345</v>
      </c>
      <c r="D178" s="21">
        <v>0.09902892345625895</v>
      </c>
      <c r="E178" s="21">
        <v>3.516897083498693E-4</v>
      </c>
      <c r="F178" s="232">
        <v>261.17501251993235</v>
      </c>
      <c r="G178" s="171">
        <v>36.71015620348029</v>
      </c>
      <c r="H178" s="230">
        <v>29503.96264098266</v>
      </c>
      <c r="I178" s="230">
        <v>15018.100443167314</v>
      </c>
      <c r="J178" s="170">
        <v>256184.36200000008</v>
      </c>
    </row>
    <row r="179">
      <c r="A179" s="229">
        <v>43529.97564774306</v>
      </c>
      <c r="B179" s="21">
        <v>0.07094714598024283</v>
      </c>
      <c r="C179" s="21">
        <v>0.04770349056122849</v>
      </c>
      <c r="D179" s="21">
        <v>0.09823229322860594</v>
      </c>
      <c r="E179" s="21">
        <v>-3.415681072667478E-5</v>
      </c>
      <c r="F179" s="232">
        <v>-25.391740246413974</v>
      </c>
      <c r="G179" s="171">
        <v>10.253695580609389</v>
      </c>
      <c r="H179" s="230">
        <v>29242.787628462727</v>
      </c>
      <c r="I179" s="230">
        <v>14981.390286963833</v>
      </c>
      <c r="J179" s="170">
        <v>255967.17900000012</v>
      </c>
    </row>
    <row r="180">
      <c r="A180" s="229">
        <v>43528.975770000005</v>
      </c>
      <c r="B180" s="21">
        <v>0.06929268512157574</v>
      </c>
      <c r="C180" s="21">
        <v>0.04774240042302394</v>
      </c>
      <c r="D180" s="21">
        <v>0.09839778288595197</v>
      </c>
      <c r="E180" s="21">
        <v>0.005666590644676771</v>
      </c>
      <c r="F180" s="232">
        <v>4209.585521358924</v>
      </c>
      <c r="G180" s="171">
        <v>61.62036724453847</v>
      </c>
      <c r="H180" s="230">
        <v>29268.17936870914</v>
      </c>
      <c r="I180" s="230">
        <v>14971.136591383223</v>
      </c>
      <c r="J180" s="170">
        <v>255781.9650000002</v>
      </c>
    </row>
    <row r="181">
      <c r="A181" s="229">
        <v>43525.97552253472</v>
      </c>
      <c r="B181" s="21">
        <v>0.055302711025378</v>
      </c>
      <c r="C181" s="21">
        <v>0.047859511789556296</v>
      </c>
      <c r="D181" s="21">
        <v>0.08445207316084805</v>
      </c>
      <c r="E181" s="21">
        <v>-0.0019230770113606733</v>
      </c>
      <c r="F181" s="232">
        <v>-1437.134361835604</v>
      </c>
      <c r="G181" s="171">
        <v>54.805519832593376</v>
      </c>
      <c r="H181" s="230">
        <v>25058.593847350217</v>
      </c>
      <c r="I181" s="230">
        <v>14909.516224138684</v>
      </c>
      <c r="J181" s="170">
        <v>251866.887</v>
      </c>
    </row>
    <row r="182">
      <c r="A182" s="229">
        <v>43524.97552314815</v>
      </c>
      <c r="B182" s="21">
        <v>0.06313500837777523</v>
      </c>
      <c r="C182" s="21">
        <v>0.05023783349815911</v>
      </c>
      <c r="D182" s="21">
        <v>0.09373291351267139</v>
      </c>
      <c r="E182" s="21">
        <v>-0.0043114694972915465</v>
      </c>
      <c r="F182" s="232">
        <v>-3206.2283798358403</v>
      </c>
      <c r="G182" s="171">
        <v>3.3889426662514257</v>
      </c>
      <c r="H182" s="230">
        <v>26495.72820918582</v>
      </c>
      <c r="I182" s="230">
        <v>14854.710704306091</v>
      </c>
      <c r="J182" s="170">
        <v>253515.9530000001</v>
      </c>
    </row>
    <row r="183">
      <c r="A183" s="229">
        <v>43523.975563217595</v>
      </c>
      <c r="B183" s="21">
        <v>0.07453855576418751</v>
      </c>
      <c r="C183" s="21">
        <v>0.050278978324938925</v>
      </c>
      <c r="D183" s="21">
        <v>0.10516152060844884</v>
      </c>
      <c r="E183" s="21">
        <v>-0.005181680058462376</v>
      </c>
      <c r="F183" s="232">
        <v>-3869.974938450847</v>
      </c>
      <c r="G183" s="171">
        <v>12.938863092296792</v>
      </c>
      <c r="H183" s="230">
        <v>29701.95658902166</v>
      </c>
      <c r="I183" s="230">
        <v>14851.32176163984</v>
      </c>
      <c r="J183" s="170">
        <v>256839.8230000001</v>
      </c>
    </row>
    <row r="184">
      <c r="A184" s="229">
        <v>43522.975535011574</v>
      </c>
      <c r="B184" s="21">
        <v>0.08831275739589997</v>
      </c>
      <c r="C184" s="21">
        <v>0.05032019060225445</v>
      </c>
      <c r="D184" s="21">
        <v>0.11896082303101728</v>
      </c>
      <c r="E184" s="21">
        <v>-1.7701106037608199E-4</v>
      </c>
      <c r="F184" s="232">
        <v>-132.8870091449935</v>
      </c>
      <c r="G184" s="171">
        <v>12.617621815854653</v>
      </c>
      <c r="H184" s="230">
        <v>33571.93152747251</v>
      </c>
      <c r="I184" s="230">
        <v>14838.382898547543</v>
      </c>
      <c r="J184" s="170">
        <v>260441.17099999997</v>
      </c>
    </row>
    <row r="185">
      <c r="A185" s="229">
        <v>43521.9755272801</v>
      </c>
      <c r="B185" s="21">
        <v>0.08885647047490067</v>
      </c>
      <c r="C185" s="21">
        <v>0.05036147049610371</v>
      </c>
      <c r="D185" s="21">
        <v>0.1195296780834676</v>
      </c>
      <c r="E185" s="21">
        <v>-0.002403027341277255</v>
      </c>
      <c r="F185" s="232">
        <v>-1804.3372020759853</v>
      </c>
      <c r="G185" s="171">
        <v>17.321978954328415</v>
      </c>
      <c r="H185" s="230">
        <v>33704.8185366175</v>
      </c>
      <c r="I185" s="230">
        <v>14825.765276731689</v>
      </c>
      <c r="J185" s="170">
        <v>260765.4630000001</v>
      </c>
    </row>
    <row r="186">
      <c r="A186" s="229">
        <v>43518.97556290509</v>
      </c>
      <c r="B186" s="21">
        <v>0.09549031844217393</v>
      </c>
      <c r="C186" s="21">
        <v>0.050485717545025025</v>
      </c>
      <c r="D186" s="21">
        <v>0.1262392000826699</v>
      </c>
      <c r="E186" s="21">
        <v>0.005253444673220378</v>
      </c>
      <c r="F186" s="232">
        <v>3961.4920050543733</v>
      </c>
      <c r="G186" s="171">
        <v>42.514396601394395</v>
      </c>
      <c r="H186" s="230">
        <v>35509.15573869349</v>
      </c>
      <c r="I186" s="230">
        <v>14808.44329777736</v>
      </c>
      <c r="J186" s="170">
        <v>262439.99600000004</v>
      </c>
    </row>
    <row r="187">
      <c r="A187" s="229">
        <v>43517.97554945602</v>
      </c>
      <c r="B187" s="21">
        <v>0.08147375266123685</v>
      </c>
      <c r="C187" s="21">
        <v>0.050527269575926285</v>
      </c>
      <c r="D187" s="21">
        <v>0.11224794202324764</v>
      </c>
      <c r="E187" s="21">
        <v>-0.0026483626341897537</v>
      </c>
      <c r="F187" s="232">
        <v>-1986.572945460095</v>
      </c>
      <c r="G187" s="171">
        <v>26.19082944507171</v>
      </c>
      <c r="H187" s="230">
        <v>31547.663733639114</v>
      </c>
      <c r="I187" s="230">
        <v>14765.928901175965</v>
      </c>
      <c r="J187" s="170">
        <v>259117.23900000006</v>
      </c>
    </row>
    <row r="188">
      <c r="A188" s="229">
        <v>43516.97557607639</v>
      </c>
      <c r="B188" s="21">
        <v>0.08861499864744093</v>
      </c>
      <c r="C188" s="21">
        <v>0.05056889006157367</v>
      </c>
      <c r="D188" s="21">
        <v>0.1194145374240827</v>
      </c>
      <c r="E188" s="21">
        <v>-0.003549256279824381</v>
      </c>
      <c r="F188" s="232">
        <v>-2669.3964171055704</v>
      </c>
      <c r="G188" s="171">
        <v>23.236169802822133</v>
      </c>
      <c r="H188" s="230">
        <v>33534.23667909921</v>
      </c>
      <c r="I188" s="230">
        <v>14739.738071730893</v>
      </c>
      <c r="J188" s="170">
        <v>260707.70199999993</v>
      </c>
    </row>
    <row r="189">
      <c r="A189" s="229">
        <v>43515.975523009256</v>
      </c>
      <c r="B189" s="21">
        <v>0.0982015401771953</v>
      </c>
      <c r="C189" s="21">
        <v>0.05061057917126994</v>
      </c>
      <c r="D189" s="21">
        <v>0.1290264701646999</v>
      </c>
      <c r="E189" s="21">
        <v>3.406110072223446E-4</v>
      </c>
      <c r="F189" s="232">
        <v>257.0828381375177</v>
      </c>
      <c r="G189" s="171">
        <v>7.352356351835697</v>
      </c>
      <c r="H189" s="230">
        <v>36203.63309620478</v>
      </c>
      <c r="I189" s="230">
        <v>14716.501901928072</v>
      </c>
      <c r="J189" s="170">
        <v>262795.39800000004</v>
      </c>
    </row>
    <row r="190">
      <c r="A190" s="229">
        <v>43514.975680069445</v>
      </c>
      <c r="B190" s="21">
        <v>0.0973655886366012</v>
      </c>
      <c r="C190" s="21">
        <v>0.0506523370748766</v>
      </c>
      <c r="D190" s="21">
        <v>0.12821595173465658</v>
      </c>
      <c r="E190" s="21">
        <v>-6.77047230788936E-4</v>
      </c>
      <c r="F190" s="232">
        <v>-510.8406192067778</v>
      </c>
      <c r="G190" s="171">
        <v>34.72246773727891</v>
      </c>
      <c r="H190" s="230">
        <v>35946.55025806726</v>
      </c>
      <c r="I190" s="230">
        <v>14709.149545576236</v>
      </c>
      <c r="J190" s="170">
        <v>262927.272</v>
      </c>
    </row>
    <row r="191">
      <c r="A191" s="229">
        <v>43511.97552689815</v>
      </c>
      <c r="B191" s="21">
        <v>0.09943380376088574</v>
      </c>
      <c r="C191" s="21">
        <v>0.050778025256203826</v>
      </c>
      <c r="D191" s="21">
        <v>0.1303607186284152</v>
      </c>
      <c r="E191" s="21">
        <v>0.004818474310987187</v>
      </c>
      <c r="F191" s="232">
        <v>3638.060716767097</v>
      </c>
      <c r="G191" s="171">
        <v>18.62748784931134</v>
      </c>
      <c r="H191" s="230">
        <v>36457.39087727404</v>
      </c>
      <c r="I191" s="230">
        <v>14674.427077838956</v>
      </c>
      <c r="J191" s="170">
        <v>264026.4120000001</v>
      </c>
    </row>
    <row r="192">
      <c r="A192" s="229">
        <v>43510.97556413195</v>
      </c>
      <c r="B192" s="21">
        <v>0.08649673148392717</v>
      </c>
      <c r="C192" s="21">
        <v>0.050820060045323204</v>
      </c>
      <c r="D192" s="21">
        <v>0.11744924810217477</v>
      </c>
      <c r="E192" s="21">
        <v>0.0010829873276460987</v>
      </c>
      <c r="F192" s="232">
        <v>813.7407690832624</v>
      </c>
      <c r="G192" s="171">
        <v>61.6849761045545</v>
      </c>
      <c r="H192" s="230">
        <v>32819.33016050694</v>
      </c>
      <c r="I192" s="230">
        <v>14655.799589989645</v>
      </c>
      <c r="J192" s="170">
        <v>259771.28200000012</v>
      </c>
    </row>
    <row r="193">
      <c r="A193" s="229">
        <v>43509.97554712963</v>
      </c>
      <c r="B193" s="21">
        <v>0.08365387924746635</v>
      </c>
      <c r="C193" s="21">
        <v>0.05086216448612297</v>
      </c>
      <c r="D193" s="21">
        <v>0.11463204003855426</v>
      </c>
      <c r="E193" s="21">
        <v>0.0037918897059564366</v>
      </c>
      <c r="F193" s="232">
        <v>2846.084607558907</v>
      </c>
      <c r="G193" s="171">
        <v>46.39071926294128</v>
      </c>
      <c r="H193" s="230">
        <v>32005.58939142368</v>
      </c>
      <c r="I193" s="230">
        <v>14594.11461388509</v>
      </c>
      <c r="J193" s="170">
        <v>258954.77500000002</v>
      </c>
    </row>
    <row r="194">
      <c r="A194" s="229">
        <v>43508.97556262731</v>
      </c>
      <c r="B194" s="21">
        <v>0.07352118193301388</v>
      </c>
      <c r="C194" s="21">
        <v>0.05090433875186603</v>
      </c>
      <c r="D194" s="21">
        <v>0.10452502942459191</v>
      </c>
      <c r="E194" s="21">
        <v>-0.0014328513536843092</v>
      </c>
      <c r="F194" s="232">
        <v>-1076.8864652925404</v>
      </c>
      <c r="G194" s="171">
        <v>1.2946312773639146</v>
      </c>
      <c r="H194" s="230">
        <v>29159.504783864773</v>
      </c>
      <c r="I194" s="230">
        <v>14547.72389462215</v>
      </c>
      <c r="J194" s="170">
        <v>256453.5519999998</v>
      </c>
    </row>
    <row r="195">
      <c r="A195" s="229">
        <v>43507.975571319446</v>
      </c>
      <c r="B195" s="21">
        <v>0.07744560121934312</v>
      </c>
      <c r="C195" s="21">
        <v>0.05094658301639039</v>
      </c>
      <c r="D195" s="21">
        <v>0.10847517804493904</v>
      </c>
      <c r="E195" s="21">
        <v>0.005368488386894975</v>
      </c>
      <c r="F195" s="232">
        <v>4049.5872102308786</v>
      </c>
      <c r="G195" s="171">
        <v>20.92287788978674</v>
      </c>
      <c r="H195" s="230">
        <v>30236.391249157314</v>
      </c>
      <c r="I195" s="230">
        <v>14546.429263344786</v>
      </c>
      <c r="J195" s="170">
        <v>257533.44400000002</v>
      </c>
    </row>
    <row r="196">
      <c r="A196" s="229">
        <v>43504.97553083333</v>
      </c>
      <c r="B196" s="21">
        <v>0.06307445441136841</v>
      </c>
      <c r="C196" s="21">
        <v>0.05107373754970918</v>
      </c>
      <c r="D196" s="21">
        <v>0.09418147610424953</v>
      </c>
      <c r="E196" s="21">
        <v>0.004743285552836375</v>
      </c>
      <c r="F196" s="232">
        <v>3558.772476806247</v>
      </c>
      <c r="G196" s="171">
        <v>38.33054705004702</v>
      </c>
      <c r="H196" s="230">
        <v>26186.804038926435</v>
      </c>
      <c r="I196" s="230">
        <v>14525.506385454999</v>
      </c>
      <c r="J196" s="170">
        <v>253701.637</v>
      </c>
    </row>
    <row r="197">
      <c r="A197" s="229">
        <v>43503.97551042824</v>
      </c>
      <c r="B197" s="21">
        <v>0.05031710400239113</v>
      </c>
      <c r="C197" s="21">
        <v>0.05111626355932592</v>
      </c>
      <c r="D197" s="21">
        <v>0.081450026629238</v>
      </c>
      <c r="E197" s="21">
        <v>-0.0021080038678826934</v>
      </c>
      <c r="F197" s="232">
        <v>-1585.460573504155</v>
      </c>
      <c r="G197" s="171">
        <v>60.32695201896919</v>
      </c>
      <c r="H197" s="230">
        <v>22628.031562120188</v>
      </c>
      <c r="I197" s="230">
        <v>14487.175838404952</v>
      </c>
      <c r="J197" s="170">
        <v>249952.864</v>
      </c>
    </row>
    <row r="198">
      <c r="A198" s="229">
        <v>43502.97551524306</v>
      </c>
      <c r="B198" s="21">
        <v>0.05607068592253961</v>
      </c>
      <c r="C198" s="21">
        <v>0.05115886044562536</v>
      </c>
      <c r="D198" s="21">
        <v>0.08722955265157553</v>
      </c>
      <c r="E198" s="21">
        <v>0.0021171471318677353</v>
      </c>
      <c r="F198" s="232">
        <v>1604.5989420762053</v>
      </c>
      <c r="G198" s="171">
        <v>36.18365696045676</v>
      </c>
      <c r="H198" s="230">
        <v>24213.492135624343</v>
      </c>
      <c r="I198" s="230">
        <v>14426.848886385982</v>
      </c>
      <c r="J198" s="170">
        <v>251414.14599999995</v>
      </c>
    </row>
    <row r="199">
      <c r="A199" s="229">
        <v>43501.97556668981</v>
      </c>
      <c r="B199" s="21">
        <v>0.05033203195608231</v>
      </c>
      <c r="C199" s="21">
        <v>0.05120152838594698</v>
      </c>
      <c r="D199" s="21">
        <v>0.08151688606354111</v>
      </c>
      <c r="E199" s="21">
        <v>0.0069107950821689235</v>
      </c>
      <c r="F199" s="232">
        <v>5226.645399986446</v>
      </c>
      <c r="G199" s="171">
        <v>25.12101787493141</v>
      </c>
      <c r="H199" s="230">
        <v>22608.893193548138</v>
      </c>
      <c r="I199" s="230">
        <v>14390.665229425525</v>
      </c>
      <c r="J199" s="170">
        <v>249553.35399999982</v>
      </c>
    </row>
    <row r="200">
      <c r="A200" s="229">
        <v>43500.97551991898</v>
      </c>
      <c r="B200" s="21">
        <v>0.029456300057866452</v>
      </c>
      <c r="C200" s="21">
        <v>0.051244267558222395</v>
      </c>
      <c r="D200" s="21">
        <v>0.06272440941580976</v>
      </c>
      <c r="E200" s="21">
        <v>9.281036011568323E-4</v>
      </c>
      <c r="F200" s="232">
        <v>697.6833273308584</v>
      </c>
      <c r="G200" s="171">
        <v>62.672095577102716</v>
      </c>
      <c r="H200" s="230">
        <v>17382.24779356169</v>
      </c>
      <c r="I200" s="230">
        <v>14365.544211550594</v>
      </c>
      <c r="J200" s="170">
        <v>244082.48199999996</v>
      </c>
    </row>
    <row r="201">
      <c r="A201" s="229">
        <v>43497.97557833334</v>
      </c>
      <c r="B201" s="21">
        <v>0.027006315465674453</v>
      </c>
      <c r="C201" s="21">
        <v>0.05137291425502128</v>
      </c>
      <c r="D201" s="21">
        <v>0.06035794308978833</v>
      </c>
      <c r="E201" s="21">
        <v>-0.003583582895144219</v>
      </c>
      <c r="F201" s="232">
        <v>-2691.3865916575887</v>
      </c>
      <c r="G201" s="171">
        <v>8.893645794177322</v>
      </c>
      <c r="H201" s="230">
        <v>16684.564466230833</v>
      </c>
      <c r="I201" s="230">
        <v>14302.87211597349</v>
      </c>
      <c r="J201" s="170">
        <v>243129.31999999995</v>
      </c>
    </row>
    <row r="202">
      <c r="A202" s="229">
        <v>43496.975524027774</v>
      </c>
      <c r="B202" s="21">
        <v>0.036773426189627166</v>
      </c>
      <c r="C202" s="21">
        <v>0.05141594014635714</v>
      </c>
      <c r="D202" s="21">
        <v>0.07015298650019339</v>
      </c>
      <c r="E202" s="21">
        <v>5.169332524073608E-4</v>
      </c>
      <c r="F202" s="232">
        <v>391.20466976371245</v>
      </c>
      <c r="G202" s="171">
        <v>37.622848814774756</v>
      </c>
      <c r="H202" s="230">
        <v>19375.951057888422</v>
      </c>
      <c r="I202" s="230">
        <v>14293.978470179312</v>
      </c>
      <c r="J202" s="170">
        <v>246531.91399999982</v>
      </c>
    </row>
    <row r="203">
      <c r="A203" s="229">
        <v>43495.97553278935</v>
      </c>
      <c r="B203" s="21">
        <v>0.03722171096433967</v>
      </c>
      <c r="C203" s="21">
        <v>0.05412755793040371</v>
      </c>
      <c r="D203" s="21">
        <v>0.0723616710478973</v>
      </c>
      <c r="E203" s="21">
        <v>0.0045878824620292765</v>
      </c>
      <c r="F203" s="232">
        <v>3490.7917927453527</v>
      </c>
      <c r="G203" s="171">
        <v>13.880407644635008</v>
      </c>
      <c r="H203" s="230">
        <v>18984.74638812471</v>
      </c>
      <c r="I203" s="230">
        <v>14256.355621364537</v>
      </c>
      <c r="J203" s="170">
        <v>241341.62799999974</v>
      </c>
    </row>
    <row r="204">
      <c r="A204" s="229">
        <v>43494.97551300926</v>
      </c>
      <c r="B204" s="21">
        <v>0.0239363811615927</v>
      </c>
      <c r="C204" s="21">
        <v>0.05417296695551311</v>
      </c>
      <c r="D204" s="21">
        <v>0.05910582107743519</v>
      </c>
      <c r="E204" s="21">
        <v>0.00242895917613545</v>
      </c>
      <c r="F204" s="232">
        <v>1839.6482939199777</v>
      </c>
      <c r="G204" s="171">
        <v>45.57202227940583</v>
      </c>
      <c r="H204" s="230">
        <v>15493.954595379357</v>
      </c>
      <c r="I204" s="230">
        <v>14242.475213719901</v>
      </c>
      <c r="J204" s="170">
        <v>237838.98899999965</v>
      </c>
    </row>
    <row r="205">
      <c r="A205" s="229">
        <v>43493.97552467593</v>
      </c>
      <c r="B205" s="21">
        <v>0.016932757558255056</v>
      </c>
      <c r="C205" s="21">
        <v>0.054218452234233105</v>
      </c>
      <c r="D205" s="21">
        <v>0.052131726810718745</v>
      </c>
      <c r="E205" s="21">
        <v>-0.007693064970859943</v>
      </c>
      <c r="F205" s="232">
        <v>-5812.4311270489125</v>
      </c>
      <c r="G205" s="171">
        <v>10.509225137007638</v>
      </c>
      <c r="H205" s="230">
        <v>13654.306301459379</v>
      </c>
      <c r="I205" s="230">
        <v>14196.903191440495</v>
      </c>
      <c r="J205" s="170">
        <v>236371.3799999997</v>
      </c>
    </row>
    <row r="206">
      <c r="A206" s="229">
        <v>43490.97550826389</v>
      </c>
      <c r="B206" s="21">
        <v>0.03922324219057132</v>
      </c>
      <c r="C206" s="21">
        <v>0.05435536751765289</v>
      </c>
      <c r="D206" s="21">
        <v>0.07451109772902609</v>
      </c>
      <c r="E206" s="21">
        <v>-0.0019361584535712367</v>
      </c>
      <c r="F206" s="232">
        <v>-1474.102171897306</v>
      </c>
      <c r="G206" s="171">
        <v>50.669764094295374</v>
      </c>
      <c r="H206" s="230">
        <v>19466.73742850829</v>
      </c>
      <c r="I206" s="230">
        <v>14186.393966303487</v>
      </c>
      <c r="J206" s="170">
        <v>241830.1369999997</v>
      </c>
    </row>
    <row r="207">
      <c r="A207" s="229">
        <v>43489.97557335648</v>
      </c>
      <c r="B207" s="21">
        <v>0.04490332924963466</v>
      </c>
      <c r="C207" s="21">
        <v>0.054401159739655966</v>
      </c>
      <c r="D207" s="21">
        <v>0.08022091339427177</v>
      </c>
      <c r="E207" s="21">
        <v>0.007616530818222409</v>
      </c>
      <c r="F207" s="232">
        <v>5810.104491265607</v>
      </c>
      <c r="G207" s="171">
        <v>0.09934167160494001</v>
      </c>
      <c r="H207" s="230">
        <v>20940.839600405598</v>
      </c>
      <c r="I207" s="230">
        <v>14135.724202209192</v>
      </c>
      <c r="J207" s="170">
        <v>243433.75099999964</v>
      </c>
    </row>
    <row r="208">
      <c r="A208" s="229">
        <v>43488.975535833335</v>
      </c>
      <c r="B208" s="21">
        <v>0.022664868491817983</v>
      </c>
      <c r="C208" s="21">
        <v>0.05444702918294404</v>
      </c>
      <c r="D208" s="21">
        <v>0.05801223137519425</v>
      </c>
      <c r="E208" s="21">
        <v>-0.0038576112151739606</v>
      </c>
      <c r="F208" s="232">
        <v>-2920.281493782648</v>
      </c>
      <c r="G208" s="171">
        <v>16.349541138689794</v>
      </c>
      <c r="H208" s="230">
        <v>15130.73510913999</v>
      </c>
      <c r="I208" s="230">
        <v>14135.624860537588</v>
      </c>
      <c r="J208" s="170">
        <v>237766.64799999964</v>
      </c>
    </row>
    <row r="209">
      <c r="A209" s="229">
        <v>43487.97551689815</v>
      </c>
      <c r="B209" s="21">
        <v>0.03388999442227544</v>
      </c>
      <c r="C209" s="21">
        <v>0.054492976043014035</v>
      </c>
      <c r="D209" s="21">
        <v>0.06926718630386554</v>
      </c>
      <c r="E209" s="21">
        <v>4.7964314015156036E-4</v>
      </c>
      <c r="F209" s="232">
        <v>364.49922927550506</v>
      </c>
      <c r="G209" s="171">
        <v>37.43519742794056</v>
      </c>
      <c r="H209" s="230">
        <v>18051.01660292264</v>
      </c>
      <c r="I209" s="230">
        <v>14119.275319398897</v>
      </c>
      <c r="J209" s="170">
        <v>240608.52499999962</v>
      </c>
    </row>
    <row r="210">
      <c r="A210" s="229">
        <v>43486.97550305555</v>
      </c>
      <c r="B210" s="21">
        <v>0.03251874309729336</v>
      </c>
      <c r="C210" s="21">
        <v>0.05453900051602333</v>
      </c>
      <c r="D210" s="21">
        <v>0.06792581436391858</v>
      </c>
      <c r="E210" s="21">
        <v>-0.0014131464860994798</v>
      </c>
      <c r="F210" s="232">
        <v>-1073.3891557435272</v>
      </c>
      <c r="G210" s="171">
        <v>66.90846104125151</v>
      </c>
      <c r="H210" s="230">
        <v>17686.517373647133</v>
      </c>
      <c r="I210" s="230">
        <v>14081.840121970958</v>
      </c>
      <c r="J210" s="170">
        <v>240119.99699999957</v>
      </c>
    </row>
    <row r="211">
      <c r="A211" s="229">
        <v>43483.97549008102</v>
      </c>
      <c r="B211" s="21">
        <v>0.03673421588727155</v>
      </c>
      <c r="C211" s="21">
        <v>0.05467754158422661</v>
      </c>
      <c r="D211" s="21">
        <v>0.07223122890986618</v>
      </c>
      <c r="E211" s="21">
        <v>0.005216037794641223</v>
      </c>
      <c r="F211" s="232">
        <v>3974.5143220823957</v>
      </c>
      <c r="G211" s="171">
        <v>14.042101200007416</v>
      </c>
      <c r="H211" s="230">
        <v>18759.90652939066</v>
      </c>
      <c r="I211" s="230">
        <v>14014.931660929706</v>
      </c>
      <c r="J211" s="170">
        <v>241057.9909999995</v>
      </c>
    </row>
    <row r="212">
      <c r="A212" s="229">
        <v>43482.975494976854</v>
      </c>
      <c r="B212" s="21">
        <v>0.021449313690971056</v>
      </c>
      <c r="C212" s="21">
        <v>0.05472387848387426</v>
      </c>
      <c r="D212" s="21">
        <v>0.056976408927991606</v>
      </c>
      <c r="E212" s="21">
        <v>0.0016933254858100444</v>
      </c>
      <c r="F212" s="232">
        <v>1283.5493071419187</v>
      </c>
      <c r="G212" s="171">
        <v>39.687121041598</v>
      </c>
      <c r="H212" s="230">
        <v>14785.392207308265</v>
      </c>
      <c r="I212" s="230">
        <v>14000.889559729698</v>
      </c>
      <c r="J212" s="170">
        <v>237145.39599999978</v>
      </c>
    </row>
    <row r="213">
      <c r="A213" s="229">
        <v>43481.97549166667</v>
      </c>
      <c r="B213" s="21">
        <v>0.01651707582203306</v>
      </c>
      <c r="C213" s="21">
        <v>0.05477029398725329</v>
      </c>
      <c r="D213" s="21">
        <v>0.05207430430352945</v>
      </c>
      <c r="E213" s="21">
        <v>0.0019763799894292103</v>
      </c>
      <c r="F213" s="232">
        <v>1495.5692754302872</v>
      </c>
      <c r="G213" s="171">
        <v>52.054121234992884</v>
      </c>
      <c r="H213" s="230">
        <v>13501.842900166346</v>
      </c>
      <c r="I213" s="230">
        <v>13961.2024386881</v>
      </c>
      <c r="J213" s="170">
        <v>236008.79999999976</v>
      </c>
    </row>
    <row r="214">
      <c r="A214" s="229">
        <v>43480.97549563657</v>
      </c>
      <c r="B214" s="21">
        <v>0.010758045029492298</v>
      </c>
      <c r="C214" s="21">
        <v>0.05481678829454298</v>
      </c>
      <c r="D214" s="21">
        <v>0.046345457915472135</v>
      </c>
      <c r="E214" s="21">
        <v>0.0070173088007806275</v>
      </c>
      <c r="F214" s="232">
        <v>5299.653730948805</v>
      </c>
      <c r="G214" s="171">
        <v>40.844892644396324</v>
      </c>
      <c r="H214" s="230">
        <v>12006.273624736059</v>
      </c>
      <c r="I214" s="230">
        <v>13909.148317453108</v>
      </c>
      <c r="J214" s="170">
        <v>234202.12899999955</v>
      </c>
    </row>
    <row r="215">
      <c r="A215" s="229">
        <v>43479.975508020834</v>
      </c>
      <c r="B215" s="21">
        <v>-0.010305420120917733</v>
      </c>
      <c r="C215" s="21">
        <v>0.05546137466659266</v>
      </c>
      <c r="D215" s="21">
        <v>0.02591024151994224</v>
      </c>
      <c r="E215" s="21">
        <v>-0.001334928398838132</v>
      </c>
      <c r="F215" s="232">
        <v>-1005.1764414050849</v>
      </c>
      <c r="G215" s="171">
        <v>7.693479818490188</v>
      </c>
      <c r="H215" s="230">
        <v>6706.619893787254</v>
      </c>
      <c r="I215" s="230">
        <v>13868.303424808711</v>
      </c>
      <c r="J215" s="170">
        <v>228839.74699999957</v>
      </c>
    </row>
    <row r="216">
      <c r="A216" s="229">
        <v>43476.97549700231</v>
      </c>
      <c r="B216" s="21">
        <v>-0.006438449170585737</v>
      </c>
      <c r="C216" s="21">
        <v>0.055603098792657214</v>
      </c>
      <c r="D216" s="21">
        <v>0.029869756750446792</v>
      </c>
      <c r="E216" s="21">
        <v>0.004726272396820027</v>
      </c>
      <c r="F216" s="232">
        <v>3548.3751288020285</v>
      </c>
      <c r="G216" s="171">
        <v>46.07866444415935</v>
      </c>
      <c r="H216" s="230">
        <v>7711.796335192339</v>
      </c>
      <c r="I216" s="230">
        <v>13860.609944990221</v>
      </c>
      <c r="J216" s="170">
        <v>230302.59199999977</v>
      </c>
    </row>
    <row r="217">
      <c r="A217" s="229">
        <v>43475.97551362269</v>
      </c>
      <c r="B217" s="21">
        <v>-0.020199417914175715</v>
      </c>
      <c r="C217" s="21">
        <v>0.0556505012639212</v>
      </c>
      <c r="D217" s="21">
        <v>0.016139741294087018</v>
      </c>
      <c r="E217" s="21">
        <v>0.0031382181289043042</v>
      </c>
      <c r="F217" s="232">
        <v>2344.9654326584423</v>
      </c>
      <c r="G217" s="171">
        <v>31.90102012256662</v>
      </c>
      <c r="H217" s="230">
        <v>4163.4212063903105</v>
      </c>
      <c r="I217" s="230">
        <v>13814.531280546062</v>
      </c>
      <c r="J217" s="170">
        <v>226953.62599999964</v>
      </c>
    </row>
    <row r="218">
      <c r="A218" s="229">
        <v>43474.975515439815</v>
      </c>
      <c r="B218" s="21">
        <v>-0.02931480232524232</v>
      </c>
      <c r="C218" s="21">
        <v>0.055697984626774374</v>
      </c>
      <c r="D218" s="21">
        <v>0.007055362991559888</v>
      </c>
      <c r="E218" s="21">
        <v>-0.006194160276295573</v>
      </c>
      <c r="F218" s="232">
        <v>-4613.926830865792</v>
      </c>
      <c r="G218" s="171">
        <v>24.27810843400919</v>
      </c>
      <c r="H218" s="230">
        <v>1818.4557737318682</v>
      </c>
      <c r="I218" s="230">
        <v>13782.630260423495</v>
      </c>
      <c r="J218" s="170">
        <v>226354.3009999997</v>
      </c>
    </row>
    <row r="219">
      <c r="A219" s="229">
        <v>43473.97549445602</v>
      </c>
      <c r="B219" s="21">
        <v>-0.006953325510828848</v>
      </c>
      <c r="C219" s="21">
        <v>0.0512757390004923</v>
      </c>
      <c r="D219" s="21">
        <v>0.024978088783184048</v>
      </c>
      <c r="E219" s="21">
        <v>7.389663978673024E-5</v>
      </c>
      <c r="F219" s="232">
        <v>55.57760459772544</v>
      </c>
      <c r="G219" s="171">
        <v>4.614058174070333</v>
      </c>
      <c r="H219" s="230">
        <v>6432.38260459766</v>
      </c>
      <c r="I219" s="230">
        <v>13758.352151989486</v>
      </c>
      <c r="J219" s="170">
        <v>229157.32399999938</v>
      </c>
    </row>
    <row r="220">
      <c r="A220" s="229">
        <v>43472.975529999996</v>
      </c>
      <c r="B220" s="21">
        <v>-0.007175270733877996</v>
      </c>
      <c r="C220" s="21">
        <v>0.05131956441844144</v>
      </c>
      <c r="D220" s="21">
        <v>0.0247834353672238</v>
      </c>
      <c r="E220" s="21">
        <v>0.001027493757912736</v>
      </c>
      <c r="F220" s="232">
        <v>756.3123805186478</v>
      </c>
      <c r="G220" s="171">
        <v>51.76518324385925</v>
      </c>
      <c r="H220" s="230">
        <v>6376.804999999935</v>
      </c>
      <c r="I220" s="230">
        <v>13753.738093815415</v>
      </c>
      <c r="J220" s="170">
        <v>228894.37599999981</v>
      </c>
    </row>
    <row r="221">
      <c r="A221" s="229">
        <v>43469.97551916666</v>
      </c>
      <c r="B221" s="21">
        <v>-0.010140678492763924</v>
      </c>
      <c r="C221" s="21">
        <v>0.05145149131926005</v>
      </c>
      <c r="D221" s="21">
        <v>0.021900183665153044</v>
      </c>
      <c r="E221" s="21">
        <v>8.357106871301597E-4</v>
      </c>
      <c r="F221" s="232">
        <v>614.5136146547156</v>
      </c>
      <c r="G221" s="171">
        <v>18.84470443783041</v>
      </c>
      <c r="H221" s="230">
        <v>5620.492619481287</v>
      </c>
      <c r="I221" s="230">
        <v>13701.972910571556</v>
      </c>
      <c r="J221" s="170">
        <v>228345.5839999998</v>
      </c>
    </row>
    <row r="222">
      <c r="A222" s="229">
        <v>43468.975556226855</v>
      </c>
      <c r="B222" s="21">
        <v>-0.012545874129958846</v>
      </c>
      <c r="C222" s="21">
        <v>0.0514956178126728</v>
      </c>
      <c r="D222" s="21">
        <v>0.019522467326549817</v>
      </c>
      <c r="E222" s="21">
        <v>-0.002780077084925396</v>
      </c>
      <c r="F222" s="232">
        <v>-2042.5340020433068</v>
      </c>
      <c r="G222" s="171">
        <v>50.11543396840141</v>
      </c>
      <c r="H222" s="230">
        <v>5005.979004826571</v>
      </c>
      <c r="I222" s="230">
        <v>13683.128206133726</v>
      </c>
      <c r="J222" s="170">
        <v>228951.80100000004</v>
      </c>
    </row>
    <row r="223">
      <c r="A223" s="229">
        <v>43467.975532094904</v>
      </c>
      <c r="B223" s="21">
        <v>-0.004584270282478509</v>
      </c>
      <c r="C223" s="21">
        <v>0.0515398200597223</v>
      </c>
      <c r="D223" s="21">
        <v>0.027511597647383382</v>
      </c>
      <c r="E223" s="21">
        <v>0.01146820804725108</v>
      </c>
      <c r="F223" s="232">
        <v>8435.013006869878</v>
      </c>
      <c r="G223" s="171">
        <v>38.05105115666082</v>
      </c>
      <c r="H223" s="230">
        <v>7048.513006869878</v>
      </c>
      <c r="I223" s="230">
        <v>13633.012772165324</v>
      </c>
      <c r="J223" s="170">
        <v>230961.1870000001</v>
      </c>
    </row>
    <row r="224">
      <c r="A224" s="229">
        <v>43465.0</v>
      </c>
      <c r="B224" s="21">
        <v>-0.0416</v>
      </c>
      <c r="C224" s="21">
        <v>0.0541</v>
      </c>
      <c r="D224" s="21">
        <v>-0.0057</v>
      </c>
      <c r="E224" s="21">
        <v>0.0094</v>
      </c>
      <c r="F224" s="232">
        <v>6809.818670859677</v>
      </c>
      <c r="G224" s="171">
        <v>69.75797755393755</v>
      </c>
      <c r="H224" s="230">
        <v>-1386.5</v>
      </c>
      <c r="I224" s="230">
        <v>13594.961721008664</v>
      </c>
      <c r="J224" s="170">
        <v>222568.43100000004</v>
      </c>
    </row>
    <row r="225">
      <c r="A225" s="229">
        <v>43462.97555304398</v>
      </c>
      <c r="B225" s="21">
        <v>-0.05225137458198277</v>
      </c>
      <c r="C225" s="21">
        <v>0.03683163480615135</v>
      </c>
      <c r="D225" s="21">
        <v>-0.0337077392428632</v>
      </c>
      <c r="E225" s="21">
        <v>0.001084210170852612</v>
      </c>
      <c r="F225" s="232">
        <v>781.3461984310998</v>
      </c>
      <c r="G225" s="171">
        <v>46.51655043926158</v>
      </c>
      <c r="H225" s="230">
        <v>-8196.318670859677</v>
      </c>
      <c r="I225" s="230">
        <v>13525.203743454726</v>
      </c>
      <c r="J225" s="170">
        <v>216461.74599999998</v>
      </c>
    </row>
    <row r="226">
      <c r="A226" s="229">
        <v>43461.97553350695</v>
      </c>
      <c r="B226" s="21">
        <v>-0.05551255257371618</v>
      </c>
      <c r="C226" s="21">
        <v>0.03686341361098841</v>
      </c>
      <c r="D226" s="21">
        <v>-0.03695291754923068</v>
      </c>
      <c r="E226" s="21">
        <v>0.004305798741420034</v>
      </c>
      <c r="F226" s="232">
        <v>3099.6498084677733</v>
      </c>
      <c r="G226" s="171">
        <v>65.72292135585653</v>
      </c>
      <c r="H226" s="230">
        <v>-8977.664869290777</v>
      </c>
      <c r="I226" s="230">
        <v>13478.687193015465</v>
      </c>
      <c r="J226" s="170">
        <v>215164.77000000008</v>
      </c>
    </row>
    <row r="227">
      <c r="A227" s="229">
        <v>43458.975581516206</v>
      </c>
      <c r="B227" s="21">
        <v>-0.06844817818147665</v>
      </c>
      <c r="C227" s="21">
        <v>0.036959079909286825</v>
      </c>
      <c r="D227" s="21">
        <v>-0.04984037801419405</v>
      </c>
      <c r="E227" s="21">
        <v>-0.007241766630802091</v>
      </c>
      <c r="F227" s="232">
        <v>-5248.528845272958</v>
      </c>
      <c r="G227" s="171">
        <v>10.479460104518804</v>
      </c>
      <c r="H227" s="230">
        <v>-12077.31467775855</v>
      </c>
      <c r="I227" s="230">
        <v>13412.964271659608</v>
      </c>
      <c r="J227" s="170">
        <v>210544.79399999965</v>
      </c>
    </row>
    <row r="228">
      <c r="A228" s="229">
        <v>43455.9755625463</v>
      </c>
      <c r="B228" s="21">
        <v>-0.046910412674121896</v>
      </c>
      <c r="C228" s="21">
        <v>0.03705524403741159</v>
      </c>
      <c r="D228" s="21">
        <v>-0.028254196721495102</v>
      </c>
      <c r="E228" s="21">
        <v>-0.0032816562464081152</v>
      </c>
      <c r="F228" s="232">
        <v>-2395.6307324855006</v>
      </c>
      <c r="G228" s="171">
        <v>2.6411957369377745</v>
      </c>
      <c r="H228" s="230">
        <v>-6828.7858324855915</v>
      </c>
      <c r="I228" s="230">
        <v>13402.484811555089</v>
      </c>
      <c r="J228" s="170">
        <v>217657.76899999985</v>
      </c>
    </row>
    <row r="229">
      <c r="A229" s="229">
        <v>43454.97555884259</v>
      </c>
      <c r="B229" s="21">
        <v>-0.03703057378825105</v>
      </c>
      <c r="C229" s="21">
        <v>0.03708741004786073</v>
      </c>
      <c r="D229" s="21">
        <v>-0.018358163203720933</v>
      </c>
      <c r="E229" s="21">
        <v>-0.006360038926212828</v>
      </c>
      <c r="F229" s="232">
        <v>-4675.418749566423</v>
      </c>
      <c r="G229" s="171">
        <v>19.72304615651365</v>
      </c>
      <c r="H229" s="230">
        <v>-4433.155100000091</v>
      </c>
      <c r="I229" s="230">
        <v>13399.84361581815</v>
      </c>
      <c r="J229" s="170">
        <v>220767.27299999987</v>
      </c>
    </row>
    <row r="230">
      <c r="A230" s="229">
        <v>43453.975029305555</v>
      </c>
      <c r="B230" s="21">
        <v>-0.017684522387828652</v>
      </c>
      <c r="C230" s="21">
        <v>0.03711963195059562</v>
      </c>
      <c r="D230" s="21">
        <v>0.0010041109687123503</v>
      </c>
      <c r="E230" s="21">
        <v>-5.519938965814329E-4</v>
      </c>
      <c r="F230" s="232">
        <v>-411.12577378045535</v>
      </c>
      <c r="G230" s="171">
        <v>2.9628170731525625</v>
      </c>
      <c r="H230" s="230">
        <v>242.26364956633188</v>
      </c>
      <c r="I230" s="230">
        <v>13380.120569661636</v>
      </c>
      <c r="J230" s="170">
        <v>224405.60899999965</v>
      </c>
    </row>
    <row r="231">
      <c r="A231" s="229">
        <v>43452.97457569445</v>
      </c>
      <c r="B231" s="21">
        <v>-0.015994424112389268</v>
      </c>
      <c r="C231" s="21">
        <v>0.03715190989142223</v>
      </c>
      <c r="D231" s="21">
        <v>0.002710460229679158</v>
      </c>
      <c r="E231" s="21">
        <v>-0.0035291119476894314</v>
      </c>
      <c r="F231" s="232">
        <v>-2646.2075766524067</v>
      </c>
      <c r="G231" s="171">
        <v>34.105706777226885</v>
      </c>
      <c r="H231" s="230">
        <v>653.3894233467872</v>
      </c>
      <c r="I231" s="230">
        <v>13377.157752588484</v>
      </c>
      <c r="J231" s="170">
        <v>225193.2799999992</v>
      </c>
    </row>
    <row r="232">
      <c r="A232" s="229">
        <v>43451.973419444446</v>
      </c>
      <c r="B232" s="21">
        <v>-0.0050215079674967135</v>
      </c>
      <c r="C232" s="21">
        <v>0.0371842440166541</v>
      </c>
      <c r="D232" s="21">
        <v>0.013699655647280215</v>
      </c>
      <c r="E232" s="21">
        <v>-0.006262533561564313</v>
      </c>
      <c r="F232" s="232">
        <v>-4734.547498141648</v>
      </c>
      <c r="G232" s="171">
        <v>20.374859595746067</v>
      </c>
      <c r="H232" s="230">
        <v>3299.596999999194</v>
      </c>
      <c r="I232" s="230">
        <v>13343.052045811257</v>
      </c>
      <c r="J232" s="170">
        <v>227868.4429999994</v>
      </c>
    </row>
    <row r="233">
      <c r="A233" s="229">
        <v>43448.97341672453</v>
      </c>
      <c r="B233" s="21">
        <v>0.014674216614063897</v>
      </c>
      <c r="C233" s="21">
        <v>0.037281584969577286</v>
      </c>
      <c r="D233" s="21">
        <v>0.03344443013842236</v>
      </c>
      <c r="E233" s="21">
        <v>0.0023467760345307833</v>
      </c>
      <c r="F233" s="232">
        <v>1765.2667218117858</v>
      </c>
      <c r="G233" s="171">
        <v>60.154512793388335</v>
      </c>
      <c r="H233" s="230">
        <v>8034.144498140842</v>
      </c>
      <c r="I233" s="230">
        <v>13322.677186215511</v>
      </c>
      <c r="J233" s="170">
        <v>232804.1599999995</v>
      </c>
    </row>
    <row r="234">
      <c r="A234" s="229">
        <v>43447.99310577546</v>
      </c>
      <c r="B234" s="21">
        <v>0.007332185789859323</v>
      </c>
      <c r="C234" s="21">
        <v>0.03731414530579526</v>
      </c>
      <c r="D234" s="21">
        <v>0.02611879251380238</v>
      </c>
      <c r="E234" s="21">
        <v>-0.008847251440605546</v>
      </c>
      <c r="F234" s="232">
        <v>-6713.952874382841</v>
      </c>
      <c r="G234" s="171">
        <v>27.567924919292135</v>
      </c>
      <c r="H234" s="230">
        <v>6268.877776329056</v>
      </c>
      <c r="I234" s="230">
        <v>13262.522673422123</v>
      </c>
      <c r="J234" s="170">
        <v>230880.86199999927</v>
      </c>
    </row>
    <row r="235">
      <c r="A235" s="229">
        <v>43446.97483011574</v>
      </c>
      <c r="B235" s="21">
        <v>0.03533621046143479</v>
      </c>
      <c r="C235" s="21">
        <v>0.03734676256567794</v>
      </c>
      <c r="D235" s="21">
        <v>0.05413923904440227</v>
      </c>
      <c r="E235" s="21">
        <v>0.007379151831654422</v>
      </c>
      <c r="F235" s="232">
        <v>2824.696450686024</v>
      </c>
      <c r="G235" s="171">
        <v>44.16082469770722</v>
      </c>
      <c r="H235" s="230">
        <v>12982.830650711898</v>
      </c>
      <c r="I235" s="230">
        <v>13234.95474850283</v>
      </c>
      <c r="J235" s="170">
        <v>238017.6219999994</v>
      </c>
    </row>
    <row r="236">
      <c r="A236" s="229">
        <v>43445.0</v>
      </c>
      <c r="B236" s="21">
        <v>0.023567357918289823</v>
      </c>
      <c r="C236" s="21">
        <v>0.03737946551013125</v>
      </c>
      <c r="D236" s="21">
        <v>0.042386851500016476</v>
      </c>
      <c r="E236" s="21">
        <v>0.007379151831654422</v>
      </c>
      <c r="F236" s="232">
        <v>2824.696450686024</v>
      </c>
      <c r="G236" s="171">
        <v>32.28631186948433</v>
      </c>
      <c r="H236" s="230">
        <v>10158.134200025874</v>
      </c>
      <c r="I236" s="230">
        <v>13190.793923805124</v>
      </c>
      <c r="J236" s="170">
        <v>240499.3129999995</v>
      </c>
    </row>
    <row r="237">
      <c r="A237" s="229">
        <v>43444.97340633102</v>
      </c>
      <c r="B237" s="21">
        <v>0.011798505375144859</v>
      </c>
      <c r="C237" s="21">
        <v>0.03741216845458456</v>
      </c>
      <c r="D237" s="21">
        <v>0.030634463955630672</v>
      </c>
      <c r="E237" s="21">
        <v>-0.0037012082581133606</v>
      </c>
      <c r="F237" s="232">
        <v>-2812.692457120167</v>
      </c>
      <c r="G237" s="171">
        <v>44.21612259368107</v>
      </c>
      <c r="H237" s="230">
        <v>7333.43774933985</v>
      </c>
      <c r="I237" s="230">
        <v>13158.50761193564</v>
      </c>
      <c r="J237" s="170">
        <v>232461.03799999948</v>
      </c>
    </row>
    <row r="238">
      <c r="A238" s="229">
        <v>43441.97344800926</v>
      </c>
      <c r="B238" s="21">
        <v>0.023610178453431222</v>
      </c>
      <c r="C238" s="21">
        <v>0.03751070796763439</v>
      </c>
      <c r="D238" s="21">
        <v>0.04249574886512113</v>
      </c>
      <c r="E238" s="21">
        <v>-0.0019271621841113072</v>
      </c>
      <c r="F238" s="232">
        <v>-1469.946193961252</v>
      </c>
      <c r="G238" s="171">
        <v>14.438239256425515</v>
      </c>
      <c r="H238" s="230">
        <v>10146.130206460017</v>
      </c>
      <c r="I238" s="230">
        <v>13114.291489341958</v>
      </c>
      <c r="J238" s="170">
        <v>234298.82899999944</v>
      </c>
    </row>
    <row r="239">
      <c r="A239" s="229">
        <v>43440.97339533565</v>
      </c>
      <c r="B239" s="21">
        <v>0.02979301437805489</v>
      </c>
      <c r="C239" s="21">
        <v>0.03754366992542668</v>
      </c>
      <c r="D239" s="21">
        <v>0.048695180194324485</v>
      </c>
      <c r="E239" s="21">
        <v>-0.002758145533248564</v>
      </c>
      <c r="F239" s="232">
        <v>-2091.4319944336894</v>
      </c>
      <c r="G239" s="171">
        <v>25.042731898614306</v>
      </c>
      <c r="H239" s="230">
        <v>11616.076400421269</v>
      </c>
      <c r="I239" s="230">
        <v>13099.853250085533</v>
      </c>
      <c r="J239" s="170">
        <v>234267.5419999995</v>
      </c>
    </row>
    <row r="240">
      <c r="A240" s="229">
        <v>43439.97343138889</v>
      </c>
      <c r="B240" s="21">
        <v>0.038594317315082255</v>
      </c>
      <c r="C240" s="21">
        <v>0.03757668986379557</v>
      </c>
      <c r="D240" s="21">
        <v>0.05751310772749632</v>
      </c>
      <c r="E240" s="21">
        <v>-0.005489546817800433</v>
      </c>
      <c r="F240" s="232">
        <v>-4124.768616428279</v>
      </c>
      <c r="G240" s="171">
        <v>1.8423045928772208</v>
      </c>
      <c r="H240" s="230">
        <v>13707.508394854958</v>
      </c>
      <c r="I240" s="230">
        <v>13074.810518186918</v>
      </c>
      <c r="J240" s="170">
        <v>238585.85999999987</v>
      </c>
    </row>
    <row r="241">
      <c r="A241" s="229">
        <v>43438.97348383102</v>
      </c>
      <c r="B241" s="21">
        <v>0.05351820781477613</v>
      </c>
      <c r="C241" s="21">
        <v>0.03760976793585877</v>
      </c>
      <c r="D241" s="21">
        <v>0.07488541659174172</v>
      </c>
      <c r="E241" s="21">
        <v>0.00648527944191245</v>
      </c>
      <c r="F241" s="232">
        <v>4899.698445441783</v>
      </c>
      <c r="G241" s="171">
        <v>41.25850242084119</v>
      </c>
      <c r="H241" s="230">
        <v>17832.277011283237</v>
      </c>
      <c r="I241" s="230">
        <v>13072.96821359404</v>
      </c>
      <c r="J241" s="170">
        <v>242332.2529999998</v>
      </c>
    </row>
    <row r="242">
      <c r="A242" s="229">
        <v>43437.973497962965</v>
      </c>
      <c r="B242" s="21">
        <v>0.03297128637171939</v>
      </c>
      <c r="C242" s="21">
        <v>0.03764290429527363</v>
      </c>
      <c r="D242" s="21">
        <v>0.05435732088329025</v>
      </c>
      <c r="E242" s="21">
        <v>0.004040859480410558</v>
      </c>
      <c r="F242" s="232">
        <v>3033.11385251538</v>
      </c>
      <c r="G242" s="171">
        <v>37.81827136457988</v>
      </c>
      <c r="H242" s="230">
        <v>12932.578565841453</v>
      </c>
      <c r="I242" s="230">
        <v>13031.709711173198</v>
      </c>
      <c r="J242" s="170">
        <v>239913.48500000004</v>
      </c>
    </row>
    <row r="243">
      <c r="A243" s="229">
        <v>43434.97342417824</v>
      </c>
      <c r="B243" s="21">
        <v>0.02148381556287543</v>
      </c>
      <c r="C243" s="21">
        <v>0.04000248341561938</v>
      </c>
      <c r="D243" s="21">
        <v>0.04421691719201773</v>
      </c>
      <c r="E243" s="21">
        <v>0.006452583308599906</v>
      </c>
      <c r="F243" s="232">
        <v>4823.818517757929</v>
      </c>
      <c r="G243" s="171">
        <v>23.537006985452678</v>
      </c>
      <c r="H243" s="230">
        <v>9899.464713326073</v>
      </c>
      <c r="I243" s="230">
        <v>12993.891439808618</v>
      </c>
      <c r="J243" s="170">
        <v>235610.6380000001</v>
      </c>
    </row>
    <row r="244">
      <c r="A244" s="229">
        <v>43433.97351476851</v>
      </c>
      <c r="B244" s="21">
        <v>-9.781724778423037E-4</v>
      </c>
      <c r="C244" s="21">
        <v>0.04095373330715423</v>
      </c>
      <c r="D244" s="21">
        <v>0.022690909916586864</v>
      </c>
      <c r="E244" s="21">
        <v>0.002556147445337355</v>
      </c>
      <c r="F244" s="232">
        <v>1898.0691673596739</v>
      </c>
      <c r="G244" s="171">
        <v>35.6357372670695</v>
      </c>
      <c r="H244" s="230">
        <v>5075.646195568144</v>
      </c>
      <c r="I244" s="230">
        <v>12970.354432823166</v>
      </c>
      <c r="J244" s="170">
        <v>231323.56699999998</v>
      </c>
    </row>
    <row r="245">
      <c r="A245" s="229">
        <v>43432.973458611115</v>
      </c>
      <c r="B245" s="21">
        <v>-0.0020302292072537967</v>
      </c>
      <c r="C245" s="21">
        <v>0.033548251862023044</v>
      </c>
      <c r="D245" s="21">
        <v>0.014218075590793978</v>
      </c>
      <c r="E245" s="21">
        <v>0.0016319694728743124</v>
      </c>
      <c r="F245" s="232">
        <v>1213.29762213293</v>
      </c>
      <c r="G245" s="171">
        <v>53.87387440766848</v>
      </c>
      <c r="H245" s="230">
        <v>3177.5770282084704</v>
      </c>
      <c r="I245" s="230">
        <v>12934.718695556096</v>
      </c>
      <c r="J245" s="170">
        <v>231087.76899999974</v>
      </c>
    </row>
    <row r="246">
      <c r="A246" s="229">
        <v>43431.97346934028</v>
      </c>
      <c r="B246" s="21">
        <v>-0.007465739006978426</v>
      </c>
      <c r="C246" s="21">
        <v>0.0335779668769584</v>
      </c>
      <c r="D246" s="21">
        <v>0.008796957557940958</v>
      </c>
      <c r="E246" s="21">
        <v>0.0047875110802551215</v>
      </c>
      <c r="F246" s="232">
        <v>3553.495530645945</v>
      </c>
      <c r="G246" s="171">
        <v>66.12407934189086</v>
      </c>
      <c r="H246" s="230">
        <v>1964.2794060755405</v>
      </c>
      <c r="I246" s="230">
        <v>12880.844821148426</v>
      </c>
      <c r="J246" s="170">
        <v>228800.79599999986</v>
      </c>
    </row>
    <row r="247">
      <c r="A247" s="229">
        <v>43430.98210945602</v>
      </c>
      <c r="B247" s="21">
        <v>-0.023400673057898055</v>
      </c>
      <c r="C247" s="21">
        <v>0.03360773457809046</v>
      </c>
      <c r="D247" s="21">
        <v>-0.007123559208789915</v>
      </c>
      <c r="E247" s="21">
        <v>-6.755832735947918E-4</v>
      </c>
      <c r="F247" s="232">
        <v>-499.0461245699553</v>
      </c>
      <c r="G247" s="171">
        <v>13.45301180769042</v>
      </c>
      <c r="H247" s="230">
        <v>-1589.2161245704046</v>
      </c>
      <c r="I247" s="230">
        <v>12814.720741806535</v>
      </c>
      <c r="J247" s="170">
        <v>224678.60799999966</v>
      </c>
    </row>
    <row r="248">
      <c r="A248" s="229">
        <v>43427.97507409722</v>
      </c>
      <c r="B248" s="21">
        <v>-0.021220167472055875</v>
      </c>
      <c r="C248" s="21">
        <v>0.03369735520363203</v>
      </c>
      <c r="D248" s="21">
        <v>-0.004899647986016775</v>
      </c>
      <c r="E248" s="21">
        <v>0.00835091343669615</v>
      </c>
      <c r="F248" s="232">
        <v>6169.489999999874</v>
      </c>
      <c r="G248" s="171">
        <v>64.30038358814194</v>
      </c>
      <c r="H248" s="230">
        <v>-1090.1700000004494</v>
      </c>
      <c r="I248" s="230">
        <v>12801.267729998845</v>
      </c>
      <c r="J248" s="170">
        <v>225393.32299999986</v>
      </c>
    </row>
    <row r="249">
      <c r="A249" s="229">
        <v>43426.973485243056</v>
      </c>
      <c r="B249" s="21">
        <v>-0.04899180333650157</v>
      </c>
      <c r="C249" s="21">
        <v>0.03372733505701604</v>
      </c>
      <c r="D249" s="21">
        <v>-0.032656763815332536</v>
      </c>
      <c r="E249" s="21">
        <v>-0.004541538476153775</v>
      </c>
      <c r="F249" s="232">
        <v>-3327.1799999996438</v>
      </c>
      <c r="G249" s="171">
        <v>46.24984195473832</v>
      </c>
      <c r="H249" s="230">
        <v>-7259.660000000324</v>
      </c>
      <c r="I249" s="230">
        <v>12736.967346410702</v>
      </c>
      <c r="J249" s="170">
        <v>219597.71299999987</v>
      </c>
    </row>
    <row r="250">
      <c r="A250" s="229">
        <v>43425.9745921875</v>
      </c>
      <c r="B250" s="21">
        <v>-0.034055156588442916</v>
      </c>
      <c r="C250" s="21">
        <v>0.03375736830283707</v>
      </c>
      <c r="D250" s="21">
        <v>-0.017705571172775963</v>
      </c>
      <c r="E250" s="21">
        <v>-2.858866279816986E-4</v>
      </c>
      <c r="F250" s="232">
        <v>-212.70000000006985</v>
      </c>
      <c r="G250" s="171">
        <v>60.43699765851661</v>
      </c>
      <c r="H250" s="230">
        <v>-3932.48000000068</v>
      </c>
      <c r="I250" s="230">
        <v>12690.717504455963</v>
      </c>
      <c r="J250" s="170">
        <v>222767.86699999945</v>
      </c>
    </row>
    <row r="251">
      <c r="A251" s="229">
        <v>43424.97343309028</v>
      </c>
      <c r="B251" s="21">
        <v>-0.03312699621780172</v>
      </c>
      <c r="C251" s="21">
        <v>0.03378745508385565</v>
      </c>
      <c r="D251" s="21">
        <v>-0.01676283897912615</v>
      </c>
      <c r="E251" s="21">
        <v>9.259703177809274E-4</v>
      </c>
      <c r="F251" s="232">
        <v>689.1199999993896</v>
      </c>
      <c r="G251" s="171">
        <v>52.05716559929072</v>
      </c>
      <c r="H251" s="230">
        <v>-3719.78000000061</v>
      </c>
      <c r="I251" s="230">
        <v>12630.280506797446</v>
      </c>
      <c r="J251" s="170">
        <v>222597.36899999942</v>
      </c>
    </row>
    <row r="252">
      <c r="A252" s="229">
        <v>43423.0</v>
      </c>
      <c r="B252" s="21">
        <v>-0.0363</v>
      </c>
      <c r="C252" s="21">
        <v>0.0338</v>
      </c>
      <c r="D252" s="21">
        <v>-0.0199</v>
      </c>
      <c r="E252" s="21">
        <v>-0.0048</v>
      </c>
      <c r="F252" s="232">
        <v>-3537.7499999993943</v>
      </c>
      <c r="G252" s="171">
        <v>22.78369577549386</v>
      </c>
      <c r="H252" s="230">
        <v>-4408.9</v>
      </c>
      <c r="I252" s="230">
        <v>12578.223341198156</v>
      </c>
      <c r="J252" s="170">
        <v>222759.83599999972</v>
      </c>
    </row>
    <row r="253">
      <c r="A253" s="229">
        <v>43420.0</v>
      </c>
      <c r="B253" s="21">
        <v>-0.0203261899733562</v>
      </c>
      <c r="C253" s="21">
        <v>0.03384778982507682</v>
      </c>
      <c r="D253" s="21">
        <v>-0.003932765880794137</v>
      </c>
      <c r="E253" s="21">
        <v>-0.003385272044686605</v>
      </c>
      <c r="F253" s="232">
        <v>-2529.0100000000093</v>
      </c>
      <c r="G253" s="171">
        <v>61.8366582839232</v>
      </c>
      <c r="H253" s="230">
        <v>-871.1500000006054</v>
      </c>
      <c r="I253" s="230">
        <v>12555.439645422663</v>
      </c>
      <c r="J253" s="170">
        <v>225876.12399999955</v>
      </c>
    </row>
    <row r="254">
      <c r="A254" s="229">
        <v>43419.0</v>
      </c>
      <c r="B254" s="21">
        <v>-0.008933020490282089</v>
      </c>
      <c r="C254" s="21">
        <v>0.033938697049316055</v>
      </c>
      <c r="D254" s="21">
        <v>0.007504432494202702</v>
      </c>
      <c r="E254" s="21">
        <v>-0.0026900896371648605</v>
      </c>
      <c r="F254" s="232">
        <v>-1987.2777264205638</v>
      </c>
      <c r="G254" s="171">
        <v>23.366668396612507</v>
      </c>
      <c r="H254" s="230">
        <v>1657.859999999404</v>
      </c>
      <c r="I254" s="230">
        <v>12493.60298713874</v>
      </c>
      <c r="J254" s="170">
        <v>229301.46499999956</v>
      </c>
    </row>
    <row r="255">
      <c r="A255" s="229">
        <v>43418.0</v>
      </c>
      <c r="B255" s="21">
        <v>1.0E-4</v>
      </c>
      <c r="C255" s="21">
        <v>0.034</v>
      </c>
      <c r="D255" s="21">
        <v>0.0165</v>
      </c>
      <c r="E255" s="21">
        <v>-0.0021</v>
      </c>
      <c r="F255" s="232">
        <v>-1613.0170538490815</v>
      </c>
      <c r="G255" s="171">
        <v>50.667529093917935</v>
      </c>
      <c r="H255" s="230">
        <v>3645.1377264199677</v>
      </c>
      <c r="I255" s="230">
        <v>12470.236318742127</v>
      </c>
      <c r="J255" s="170">
        <v>230376.76700000005</v>
      </c>
    </row>
    <row r="256">
      <c r="A256" s="229">
        <v>43417.0</v>
      </c>
      <c r="B256" s="21">
        <v>0.007334510198563619</v>
      </c>
      <c r="C256" s="21">
        <v>0.0339995736359516</v>
      </c>
      <c r="D256" s="21">
        <v>0.023801447403648385</v>
      </c>
      <c r="E256" s="21">
        <v>-0.00832393379841178</v>
      </c>
      <c r="F256" s="232">
        <v>-6269.1146087696925</v>
      </c>
      <c r="G256" s="171">
        <v>0.5621226165661497</v>
      </c>
      <c r="H256" s="230">
        <v>5258.154780269049</v>
      </c>
      <c r="I256" s="230">
        <v>12419.568789648209</v>
      </c>
      <c r="J256" s="170">
        <v>232790.03100000002</v>
      </c>
    </row>
    <row r="257">
      <c r="A257" s="229">
        <v>43416.0</v>
      </c>
      <c r="B257" s="21">
        <v>0.03568255587073833</v>
      </c>
      <c r="C257" s="21">
        <v>0.03406066900636661</v>
      </c>
      <c r="D257" s="21">
        <v>0.052179083259480036</v>
      </c>
      <c r="E257" s="21">
        <v>0.008225273929328049</v>
      </c>
      <c r="F257" s="232">
        <v>6222.646452101801</v>
      </c>
      <c r="G257" s="171">
        <v>37.78490602692047</v>
      </c>
      <c r="H257" s="230">
        <v>11527.269389038742</v>
      </c>
      <c r="I257" s="230">
        <v>12419.006667031643</v>
      </c>
      <c r="J257" s="170">
        <v>237213.53400000016</v>
      </c>
    </row>
    <row r="258">
      <c r="A258" s="229">
        <v>43413.0</v>
      </c>
      <c r="B258" s="21">
        <v>0.007470676538369711</v>
      </c>
      <c r="C258" s="21">
        <v>0.034152724868545974</v>
      </c>
      <c r="D258" s="21">
        <v>0.02401178913627017</v>
      </c>
      <c r="E258" s="21">
        <v>0.0037437825130053047</v>
      </c>
      <c r="F258" s="232">
        <v>2820.803721427445</v>
      </c>
      <c r="G258" s="171">
        <v>21.10898229050664</v>
      </c>
      <c r="H258" s="230">
        <v>5304.622936936941</v>
      </c>
      <c r="I258" s="230">
        <v>12381.221761004723</v>
      </c>
      <c r="J258" s="170">
        <v>231780.34700000013</v>
      </c>
    </row>
    <row r="259">
      <c r="A259" s="229">
        <v>43412.0</v>
      </c>
      <c r="B259" s="21">
        <v>-0.0053128266845997515</v>
      </c>
      <c r="C259" s="21">
        <v>0.03418352083326063</v>
      </c>
      <c r="D259" s="21">
        <v>0.011243201253785742</v>
      </c>
      <c r="E259" s="21">
        <v>0.004603892416718586</v>
      </c>
      <c r="F259" s="232">
        <v>3462.635831032896</v>
      </c>
      <c r="G259" s="171">
        <v>69.69385004785659</v>
      </c>
      <c r="H259" s="230">
        <v>2483.819215509496</v>
      </c>
      <c r="I259" s="230">
        <v>12360.112778714216</v>
      </c>
      <c r="J259" s="170">
        <v>227818.93900000007</v>
      </c>
    </row>
    <row r="260">
      <c r="A260" s="229">
        <v>43411.0</v>
      </c>
      <c r="B260" s="21">
        <v>-0.021001659895449852</v>
      </c>
      <c r="C260" s="21">
        <v>0.03421437238635924</v>
      </c>
      <c r="D260" s="21">
        <v>-0.004430689693582062</v>
      </c>
      <c r="E260" s="21">
        <v>0.004335322921611737</v>
      </c>
      <c r="F260" s="232">
        <v>3251.535832534395</v>
      </c>
      <c r="G260" s="171">
        <v>68.97513657168172</v>
      </c>
      <c r="H260" s="230">
        <v>-978.8166155234001</v>
      </c>
      <c r="I260" s="230">
        <v>12290.418928666359</v>
      </c>
      <c r="J260" s="170">
        <v>225222.76500000007</v>
      </c>
    </row>
    <row r="261">
      <c r="A261" s="229">
        <v>43410.0</v>
      </c>
      <c r="B261" s="21">
        <v>-0.03573495950711923</v>
      </c>
      <c r="C261" s="21">
        <v>0.03424527967848784</v>
      </c>
      <c r="D261" s="21">
        <v>-0.019149020045809827</v>
      </c>
      <c r="E261" s="21">
        <v>-4.061633908352187E-4</v>
      </c>
      <c r="F261" s="232">
        <v>-299.66378621332933</v>
      </c>
      <c r="G261" s="171">
        <v>0.7492484508081942</v>
      </c>
      <c r="H261" s="230">
        <v>-4230.352448057795</v>
      </c>
      <c r="I261" s="230">
        <v>12221.443792094677</v>
      </c>
      <c r="J261" s="170">
        <v>223017.0010000001</v>
      </c>
    </row>
    <row r="262">
      <c r="A262" s="229">
        <v>43409.0</v>
      </c>
      <c r="B262" s="21">
        <v>-0.034393504353355586</v>
      </c>
      <c r="C262" s="21">
        <v>0.03427624286083729</v>
      </c>
      <c r="D262" s="21">
        <v>-0.01779256856341932</v>
      </c>
      <c r="E262" s="21">
        <v>0.0010442599754107444</v>
      </c>
      <c r="F262" s="232">
        <v>793.431437883346</v>
      </c>
      <c r="G262" s="171">
        <v>6.085105598139614</v>
      </c>
      <c r="H262" s="230">
        <v>-3930.688661844466</v>
      </c>
      <c r="I262" s="230">
        <v>12220.69454364387</v>
      </c>
      <c r="J262" s="170">
        <v>223447.38900000002</v>
      </c>
    </row>
    <row r="263">
      <c r="A263" s="229">
        <v>43406.0</v>
      </c>
      <c r="B263" s="21">
        <v>-0.04057432361885199</v>
      </c>
      <c r="C263" s="21">
        <v>0.034369469269343644</v>
      </c>
      <c r="D263" s="21">
        <v>-0.021384097802544393</v>
      </c>
      <c r="E263" s="21">
        <v>-0.005502402028140756</v>
      </c>
      <c r="F263" s="232">
        <v>-4119.571724047297</v>
      </c>
      <c r="G263" s="171">
        <v>42.26459200200921</v>
      </c>
      <c r="H263" s="230">
        <v>-4724.120099727812</v>
      </c>
      <c r="I263" s="230">
        <v>12214.609438045729</v>
      </c>
      <c r="J263" s="170">
        <v>222775.55200000008</v>
      </c>
    </row>
    <row r="264">
      <c r="A264" s="229">
        <v>43405.0</v>
      </c>
      <c r="B264" s="21">
        <v>-0.021944175151915418</v>
      </c>
      <c r="C264" s="21">
        <v>0.034400657535468275</v>
      </c>
      <c r="D264" s="21">
        <v>-0.0027365353375893913</v>
      </c>
      <c r="E264" s="21">
        <v>-0.004145113376101208</v>
      </c>
      <c r="F264" s="232">
        <v>-3146.625361613621</v>
      </c>
      <c r="G264" s="171">
        <v>2.8834733067306018</v>
      </c>
      <c r="H264" s="230">
        <v>-604.5483756805147</v>
      </c>
      <c r="I264" s="230">
        <v>12172.34484604372</v>
      </c>
      <c r="J264" s="170">
        <v>227084.99099999998</v>
      </c>
    </row>
    <row r="265">
      <c r="A265" s="229">
        <v>43404.0</v>
      </c>
      <c r="B265" s="21">
        <v>-0.008958552963432575</v>
      </c>
      <c r="C265" s="21">
        <v>0.036653403305982914</v>
      </c>
      <c r="D265" s="21">
        <v>0.011506909591888414</v>
      </c>
      <c r="E265" s="21">
        <v>0.00736599351239275</v>
      </c>
      <c r="F265" s="232">
        <v>5730.798936119121</v>
      </c>
      <c r="G265" s="171">
        <v>36.73008875096963</v>
      </c>
      <c r="H265" s="230">
        <v>2542.0769859331062</v>
      </c>
      <c r="I265" s="230">
        <v>12169.461372736989</v>
      </c>
      <c r="J265" s="170">
        <v>230011.69799999997</v>
      </c>
    </row>
    <row r="266">
      <c r="A266" s="229">
        <v>43403.0</v>
      </c>
      <c r="B266" s="21">
        <v>-0.03491806593970047</v>
      </c>
      <c r="C266" s="21">
        <v>0.036686724581715624</v>
      </c>
      <c r="D266" s="21">
        <v>-0.014433998418420097</v>
      </c>
      <c r="E266" s="21">
        <v>-0.0019113518232795768</v>
      </c>
      <c r="F266" s="232">
        <v>-1475.1449621581214</v>
      </c>
      <c r="G266" s="171">
        <v>10.545800537278094</v>
      </c>
      <c r="H266" s="230">
        <v>-3188.7219501860145</v>
      </c>
      <c r="I266" s="230">
        <v>12132.731283986019</v>
      </c>
      <c r="J266" s="170">
        <v>224179.90000000002</v>
      </c>
    </row>
    <row r="267">
      <c r="A267" s="229">
        <v>43402.0</v>
      </c>
      <c r="B267" s="21">
        <v>-0.028259346128010274</v>
      </c>
      <c r="C267" s="21">
        <v>0.03672010649671264</v>
      </c>
      <c r="D267" s="21">
        <v>-0.007756639782779692</v>
      </c>
      <c r="E267" s="21">
        <v>-3.5696597542224904E-4</v>
      </c>
      <c r="F267" s="232">
        <v>-269.92335786967965</v>
      </c>
      <c r="G267" s="171">
        <v>0.3774141686558663</v>
      </c>
      <c r="H267" s="230">
        <v>-1713.576988027893</v>
      </c>
      <c r="I267" s="230">
        <v>12122.18548344874</v>
      </c>
      <c r="J267" s="170">
        <v>225942.93299999996</v>
      </c>
    </row>
    <row r="268">
      <c r="A268" s="229">
        <v>43399.0</v>
      </c>
      <c r="B268" s="21">
        <v>-0.027110875009051703</v>
      </c>
      <c r="C268" s="21">
        <v>0.03682061773712334</v>
      </c>
      <c r="D268" s="21">
        <v>-0.006534810667087017</v>
      </c>
      <c r="E268" s="21">
        <v>-0.0026552712930717997</v>
      </c>
      <c r="F268" s="232">
        <v>-2064.140472003639</v>
      </c>
      <c r="G268" s="171">
        <v>37.32389481720242</v>
      </c>
      <c r="H268" s="230">
        <v>-1443.6536301582134</v>
      </c>
      <c r="I268" s="230">
        <v>12121.808069280085</v>
      </c>
      <c r="J268" s="170">
        <v>227118.82400000002</v>
      </c>
    </row>
    <row r="269">
      <c r="A269" s="229">
        <v>43398.0</v>
      </c>
      <c r="B269" s="21">
        <v>-0.017786173221465865</v>
      </c>
      <c r="C269" s="21">
        <v>0.0368542438720431</v>
      </c>
      <c r="D269" s="21">
        <v>0.0028086820468385134</v>
      </c>
      <c r="E269" s="21">
        <v>8.338563139547352E-4</v>
      </c>
      <c r="F269" s="232">
        <v>-2944.88926021708</v>
      </c>
      <c r="G269" s="171">
        <v>36.6385693853832</v>
      </c>
      <c r="H269" s="230">
        <v>620.4868418454255</v>
      </c>
      <c r="I269" s="230">
        <v>12084.484174462883</v>
      </c>
      <c r="J269" s="170">
        <v>228265.0419999999</v>
      </c>
    </row>
    <row r="270">
      <c r="A270" s="229">
        <v>43397.0</v>
      </c>
      <c r="B270" s="21">
        <v>-0.020748978689523936</v>
      </c>
      <c r="C270" s="21">
        <v>0.03688793148070127</v>
      </c>
      <c r="D270" s="21">
        <v>0.016138952791177334</v>
      </c>
      <c r="E270" s="21">
        <v>0.005890907435982952</v>
      </c>
      <c r="F270" s="232">
        <v>4595.8721404225325</v>
      </c>
      <c r="G270" s="171">
        <v>22.960817609831246</v>
      </c>
      <c r="H270" s="230">
        <v>3565.376102062505</v>
      </c>
      <c r="I270" s="230">
        <v>12047.8456050775</v>
      </c>
      <c r="J270" s="170">
        <v>221711.34800000011</v>
      </c>
    </row>
    <row r="271">
      <c r="A271" s="229">
        <v>43396.0</v>
      </c>
      <c r="B271" s="21">
        <v>-0.041586301360480415</v>
      </c>
      <c r="C271" s="21">
        <v>0.03692168073182726</v>
      </c>
      <c r="D271" s="21">
        <v>-0.004664620628653159</v>
      </c>
      <c r="E271" s="21">
        <v>-0.0017812068445724998</v>
      </c>
      <c r="F271" s="232">
        <v>-1382.7518005134789</v>
      </c>
      <c r="G271" s="171">
        <v>33.241987730835845</v>
      </c>
      <c r="H271" s="230">
        <v>-1030.4960383600276</v>
      </c>
      <c r="I271" s="230">
        <v>12024.884787467669</v>
      </c>
      <c r="J271" s="170">
        <v>217008.95400000003</v>
      </c>
    </row>
    <row r="272">
      <c r="A272" s="229">
        <v>43395.0</v>
      </c>
      <c r="B272" s="21">
        <v>-0.0353609786345647</v>
      </c>
      <c r="C272" s="21">
        <v>0.03695549179476849</v>
      </c>
      <c r="D272" s="21">
        <v>0.0015945131602037865</v>
      </c>
      <c r="E272" s="21">
        <v>-7.920103926519372E-4</v>
      </c>
      <c r="F272" s="232">
        <v>-619.0233774435162</v>
      </c>
      <c r="G272" s="171">
        <v>26.737069840720164</v>
      </c>
      <c r="H272" s="230">
        <v>352.2557621534514</v>
      </c>
      <c r="I272" s="230">
        <v>11991.642799736832</v>
      </c>
      <c r="J272" s="170">
        <v>218620.924</v>
      </c>
    </row>
    <row r="273">
      <c r="A273" s="229">
        <v>43392.0</v>
      </c>
      <c r="B273" s="21">
        <v>-0.03266072683591557</v>
      </c>
      <c r="C273" s="21">
        <v>0.03705729755728851</v>
      </c>
      <c r="D273" s="21">
        <v>0.004396570721372943</v>
      </c>
      <c r="E273" s="21">
        <v>-0.0023235370972204735</v>
      </c>
      <c r="F273" s="232">
        <v>-1817.182189463174</v>
      </c>
      <c r="G273" s="171">
        <v>49.221626755158425</v>
      </c>
      <c r="H273" s="230">
        <v>971.2791395969676</v>
      </c>
      <c r="I273" s="230">
        <v>11964.905729896112</v>
      </c>
      <c r="J273" s="170">
        <v>219835.4900000001</v>
      </c>
    </row>
    <row r="274">
      <c r="A274" s="229">
        <v>43391.0</v>
      </c>
      <c r="B274" s="21">
        <v>-0.024469170050574515</v>
      </c>
      <c r="C274" s="21">
        <v>0.03709135757342572</v>
      </c>
      <c r="D274" s="21">
        <v>0.012622187522851207</v>
      </c>
      <c r="E274" s="21">
        <v>-6.574393612228628E-4</v>
      </c>
      <c r="F274" s="232">
        <v>-518.1523293737537</v>
      </c>
      <c r="G274" s="171">
        <v>8.88615686672103</v>
      </c>
      <c r="H274" s="230">
        <v>2788.4613290601415</v>
      </c>
      <c r="I274" s="230">
        <v>11915.684103140955</v>
      </c>
      <c r="J274" s="170">
        <v>219858.02300000004</v>
      </c>
    </row>
    <row r="275">
      <c r="A275" s="229">
        <v>43390.0</v>
      </c>
      <c r="B275" s="21">
        <v>-0.022157835833870695</v>
      </c>
      <c r="C275" s="21">
        <v>0.03712548025748591</v>
      </c>
      <c r="D275" s="21">
        <v>0.014967644423615215</v>
      </c>
      <c r="E275" s="21">
        <v>0.0062148691761467105</v>
      </c>
      <c r="F275" s="232">
        <v>4878.536625793962</v>
      </c>
      <c r="G275" s="171">
        <v>69.15394971236437</v>
      </c>
      <c r="H275" s="230">
        <v>3306.613658433895</v>
      </c>
      <c r="I275" s="230">
        <v>11906.797946274233</v>
      </c>
      <c r="J275" s="170">
        <v>220182.40000000002</v>
      </c>
    </row>
    <row r="276">
      <c r="A276" s="229">
        <v>43389.0</v>
      </c>
      <c r="B276" s="21">
        <v>-0.044275097601100724</v>
      </c>
      <c r="C276" s="21">
        <v>0.03715966578258489</v>
      </c>
      <c r="D276" s="21">
        <v>-0.007115431818515837</v>
      </c>
      <c r="E276" s="21">
        <v>0.003258618822195278</v>
      </c>
      <c r="F276" s="232">
        <v>2547.4337884285533</v>
      </c>
      <c r="G276" s="171">
        <v>44.686966336169114</v>
      </c>
      <c r="H276" s="230">
        <v>-1571.9229673600676</v>
      </c>
      <c r="I276" s="230">
        <v>11837.643996561868</v>
      </c>
      <c r="J276" s="170">
        <v>216566.23700000008</v>
      </c>
    </row>
    <row r="277">
      <c r="A277" s="229">
        <v>43388.0</v>
      </c>
      <c r="B277" s="21">
        <v>-0.055840503716855366</v>
      </c>
      <c r="C277" s="21">
        <v>0.03719391432247667</v>
      </c>
      <c r="D277" s="21">
        <v>-0.018646589394378695</v>
      </c>
      <c r="E277" s="21">
        <v>-0.0013130839359521888</v>
      </c>
      <c r="F277" s="232">
        <v>-1014.0007360986083</v>
      </c>
      <c r="G277" s="171">
        <v>43.87238502493376</v>
      </c>
      <c r="H277" s="230">
        <v>-4119.356755788621</v>
      </c>
      <c r="I277" s="230">
        <v>11792.9570302257</v>
      </c>
      <c r="J277" s="170">
        <v>214627.34200000006</v>
      </c>
    </row>
    <row r="278">
      <c r="A278" s="229">
        <v>43385.0</v>
      </c>
      <c r="B278" s="21">
        <v>-0.051353675815046435</v>
      </c>
      <c r="C278" s="21">
        <v>0.03729703977808428</v>
      </c>
      <c r="D278" s="21">
        <v>-0.014056636036962153</v>
      </c>
      <c r="E278" s="21">
        <v>0.0023794262221001807</v>
      </c>
      <c r="F278" s="232">
        <v>1798.9913722827805</v>
      </c>
      <c r="G278" s="171">
        <v>36.31254965301015</v>
      </c>
      <c r="H278" s="230">
        <v>-3105.3560196900125</v>
      </c>
      <c r="I278" s="230">
        <v>11749.084645200766</v>
      </c>
      <c r="J278" s="170">
        <v>215442.41300000006</v>
      </c>
    </row>
    <row r="279">
      <c r="A279" s="229">
        <v>43384.0</v>
      </c>
      <c r="B279" s="21">
        <v>-0.05953145281433947</v>
      </c>
      <c r="C279" s="21">
        <v>0.03733154212755522</v>
      </c>
      <c r="D279" s="21">
        <v>-0.02219991068678425</v>
      </c>
      <c r="E279" s="21">
        <v>-0.006902263831340869</v>
      </c>
      <c r="F279" s="232">
        <v>-4544.819662591174</v>
      </c>
      <c r="G279" s="171">
        <v>59.846230776249186</v>
      </c>
      <c r="H279" s="230">
        <v>-4904.347391972793</v>
      </c>
      <c r="I279" s="230">
        <v>11712.772095547756</v>
      </c>
      <c r="J279" s="170">
        <v>214775.39699999982</v>
      </c>
    </row>
    <row r="280">
      <c r="A280" s="229">
        <v>43383.0</v>
      </c>
      <c r="B280" s="21">
        <v>-0.03456476534746203</v>
      </c>
      <c r="C280" s="21">
        <v>0.03293733506086406</v>
      </c>
      <c r="D280" s="21">
        <v>-0.0016274302865979667</v>
      </c>
      <c r="E280" s="21">
        <v>-0.009859611077770702</v>
      </c>
      <c r="F280" s="232">
        <v>-7971.564515127549</v>
      </c>
      <c r="G280" s="171">
        <v>65.76945478952469</v>
      </c>
      <c r="H280" s="230">
        <v>-359.5277293816187</v>
      </c>
      <c r="I280" s="230">
        <v>11652.925864771507</v>
      </c>
      <c r="J280" s="170">
        <v>218739.2539999999</v>
      </c>
    </row>
    <row r="281">
      <c r="A281" s="229">
        <v>43382.0</v>
      </c>
      <c r="B281" s="21">
        <v>0.0014886168916975616</v>
      </c>
      <c r="C281" s="21">
        <v>0.03296786085795476</v>
      </c>
      <c r="D281" s="21">
        <v>0.03445647774965232</v>
      </c>
      <c r="E281" s="21">
        <v>0.0048789210254975585</v>
      </c>
      <c r="F281" s="232">
        <v>3980.3294436278793</v>
      </c>
      <c r="G281" s="171">
        <v>67.67742915271504</v>
      </c>
      <c r="H281" s="230">
        <v>7612.0367857459305</v>
      </c>
      <c r="I281" s="230">
        <v>11587.156409981983</v>
      </c>
      <c r="J281" s="170">
        <v>225300.88000000018</v>
      </c>
    </row>
    <row r="282">
      <c r="A282" s="229">
        <v>43381.0</v>
      </c>
      <c r="B282" s="21">
        <v>-0.016559236970407953</v>
      </c>
      <c r="C282" s="21">
        <v>0.03299844328917735</v>
      </c>
      <c r="D282" s="21">
        <v>0.016439206318769398</v>
      </c>
      <c r="E282" s="21">
        <v>-0.001338316915560452</v>
      </c>
      <c r="F282" s="232">
        <v>-1101.5992876103755</v>
      </c>
      <c r="G282" s="171">
        <v>62.24659218756076</v>
      </c>
      <c r="H282" s="230">
        <v>3631.707342118051</v>
      </c>
      <c r="I282" s="230">
        <v>11519.478980829268</v>
      </c>
      <c r="J282" s="170">
        <v>222445.673</v>
      </c>
    </row>
    <row r="283">
      <c r="A283" s="229">
        <v>43378.0</v>
      </c>
      <c r="B283" s="21">
        <v>-0.011664850621585673</v>
      </c>
      <c r="C283" s="21">
        <v>0.03309053196812389</v>
      </c>
      <c r="D283" s="21">
        <v>0.02142568134653822</v>
      </c>
      <c r="E283" s="21">
        <v>-0.004823270926367549</v>
      </c>
      <c r="F283" s="232">
        <v>-3946.0769163490977</v>
      </c>
      <c r="G283" s="171">
        <v>69.80890298612917</v>
      </c>
      <c r="H283" s="230">
        <v>4733.306629728427</v>
      </c>
      <c r="I283" s="230">
        <v>11457.232388641707</v>
      </c>
      <c r="J283" s="170">
        <v>223141.84500000003</v>
      </c>
    </row>
    <row r="284">
      <c r="A284" s="229">
        <v>43377.0</v>
      </c>
      <c r="B284" s="21">
        <v>0.00616656352394139</v>
      </c>
      <c r="C284" s="21">
        <v>0.03312134251930464</v>
      </c>
      <c r="D284" s="21">
        <v>0.03928790604324603</v>
      </c>
      <c r="E284" s="21">
        <v>-0.010546313134668158</v>
      </c>
      <c r="F284" s="232">
        <v>-8528.881351170474</v>
      </c>
      <c r="G284" s="171">
        <v>68.62460608485578</v>
      </c>
      <c r="H284" s="230">
        <v>8679.383546077524</v>
      </c>
      <c r="I284" s="230">
        <v>11387.423485655578</v>
      </c>
      <c r="J284" s="170">
        <v>225714.48099999997</v>
      </c>
    </row>
    <row r="285">
      <c r="A285" s="229">
        <v>43376.0</v>
      </c>
      <c r="B285" s="21">
        <v>0.044742341672672485</v>
      </c>
      <c r="C285" s="21">
        <v>0.03315221049928535</v>
      </c>
      <c r="D285" s="21">
        <v>0.07789455217195784</v>
      </c>
      <c r="E285" s="21">
        <v>-0.0012260901864757953</v>
      </c>
      <c r="F285" s="232">
        <v>-471.8801288761424</v>
      </c>
      <c r="G285" s="171">
        <v>53.81608974353079</v>
      </c>
      <c r="H285" s="230">
        <v>17208.264897248</v>
      </c>
      <c r="I285" s="230">
        <v>11318.798879570722</v>
      </c>
      <c r="J285" s="170">
        <v>235182.9080000001</v>
      </c>
    </row>
    <row r="286">
      <c r="A286" s="229">
        <v>43375.0</v>
      </c>
      <c r="B286" s="21">
        <v>0.046847418282195595</v>
      </c>
      <c r="C286" s="21">
        <v>0.033183136068780955</v>
      </c>
      <c r="D286" s="21">
        <v>0.08003055435097656</v>
      </c>
      <c r="E286" s="21">
        <v>0.003678256204768782</v>
      </c>
      <c r="F286" s="232">
        <v>3026.738314251834</v>
      </c>
      <c r="G286" s="171">
        <v>32.46144647595567</v>
      </c>
      <c r="H286" s="230">
        <v>17680.14502612414</v>
      </c>
      <c r="I286" s="230">
        <v>11264.982789827192</v>
      </c>
      <c r="J286" s="170">
        <v>234064.73800000007</v>
      </c>
    </row>
    <row r="287">
      <c r="A287" s="229">
        <v>43374.0</v>
      </c>
      <c r="B287" s="21">
        <v>0.03311566809559177</v>
      </c>
      <c r="C287" s="21">
        <v>0.03321411938910661</v>
      </c>
      <c r="D287" s="21">
        <v>0.06632978748469838</v>
      </c>
      <c r="E287" s="21">
        <v>0.004293895938643127</v>
      </c>
      <c r="F287" s="232">
        <v>2693.8506155570867</v>
      </c>
      <c r="G287" s="171">
        <v>2.5511090117573723</v>
      </c>
      <c r="H287" s="230">
        <v>14653.406711872307</v>
      </c>
      <c r="I287" s="230">
        <v>11232.521343351236</v>
      </c>
      <c r="J287" s="170">
        <v>232129.70899999986</v>
      </c>
    </row>
    <row r="288">
      <c r="A288" s="229">
        <v>43371.0</v>
      </c>
      <c r="B288" s="21">
        <v>0.018394356286372173</v>
      </c>
      <c r="C288" s="21">
        <v>0.03574150644356897</v>
      </c>
      <c r="D288" s="21">
        <v>0.05413586272994114</v>
      </c>
      <c r="E288" s="21">
        <v>0.005742297918190961</v>
      </c>
      <c r="F288" s="232">
        <v>5065.345523592406</v>
      </c>
      <c r="G288" s="171">
        <v>59.62146911847931</v>
      </c>
      <c r="H288" s="230">
        <v>11959.55609631522</v>
      </c>
      <c r="I288" s="230">
        <v>11229.970234339478</v>
      </c>
      <c r="J288" s="170">
        <v>229425.43199999986</v>
      </c>
    </row>
    <row r="289">
      <c r="A289" s="229">
        <v>43370.0</v>
      </c>
      <c r="B289" s="21">
        <v>-0.004567822184887074</v>
      </c>
      <c r="C289" s="21">
        <v>0.03577500363798656</v>
      </c>
      <c r="D289" s="21">
        <v>0.031207181453099486</v>
      </c>
      <c r="E289" s="21">
        <v>0.00924368039491624</v>
      </c>
      <c r="F289" s="232">
        <v>4062.3354921025843</v>
      </c>
      <c r="G289" s="171">
        <v>42.12813181168015</v>
      </c>
      <c r="H289" s="230">
        <v>6894.2105727228145</v>
      </c>
      <c r="I289" s="230">
        <v>11170.348765220999</v>
      </c>
      <c r="J289" s="170">
        <v>224296.18699999998</v>
      </c>
    </row>
    <row r="290">
      <c r="A290" s="229">
        <v>43369.0</v>
      </c>
      <c r="B290" s="221">
        <v>-0.022989891937988775</v>
      </c>
      <c r="C290" s="221">
        <v>0.03580859519069829</v>
      </c>
      <c r="D290" s="221">
        <v>0.012818703252709514</v>
      </c>
      <c r="E290" s="221">
        <v>0.00924368039491624</v>
      </c>
      <c r="F290" s="232">
        <v>4062.335492102585</v>
      </c>
      <c r="G290" s="171">
        <v>39.9771367922366</v>
      </c>
      <c r="H290" s="230">
        <v>2831.87508062023</v>
      </c>
      <c r="I290" s="230">
        <v>11128.220633409319</v>
      </c>
      <c r="J290" s="170">
        <v>219456.92699999985</v>
      </c>
    </row>
    <row r="291">
      <c r="A291" s="229">
        <v>43368.0</v>
      </c>
      <c r="B291" s="21">
        <v>-0.041411961691090474</v>
      </c>
      <c r="C291" s="21">
        <v>0.03584218674341001</v>
      </c>
      <c r="D291" s="21">
        <v>-0.0055697749476804614</v>
      </c>
      <c r="E291" s="21">
        <v>-0.0014871367301187094</v>
      </c>
      <c r="F291" s="232">
        <v>-1305.1714495637116</v>
      </c>
      <c r="G291" s="171">
        <v>21.198591983339536</v>
      </c>
      <c r="H291" s="230">
        <v>-1230.4604114823546</v>
      </c>
      <c r="I291" s="230">
        <v>11088.243496617082</v>
      </c>
      <c r="J291" s="170">
        <v>218061.09800000011</v>
      </c>
    </row>
    <row r="292">
      <c r="A292" s="229">
        <v>43367.0</v>
      </c>
      <c r="B292" s="21">
        <v>-0.03553768767271647</v>
      </c>
      <c r="C292" s="21">
        <v>0.0358758730091463</v>
      </c>
      <c r="D292" s="21">
        <v>3.3818533642982623E-4</v>
      </c>
      <c r="E292" s="21">
        <v>-0.0012547202531743992</v>
      </c>
      <c r="F292" s="232">
        <v>-1114.9297788109961</v>
      </c>
      <c r="G292" s="171">
        <v>50.87592601946111</v>
      </c>
      <c r="H292" s="230">
        <v>74.71103808135689</v>
      </c>
      <c r="I292" s="230">
        <v>11067.044904633743</v>
      </c>
      <c r="J292" s="170">
        <v>218149.7279999999</v>
      </c>
    </row>
    <row r="293">
      <c r="A293" s="229">
        <v>43364.0</v>
      </c>
      <c r="B293" s="21">
        <v>-0.03059231092935696</v>
      </c>
      <c r="C293" s="21">
        <v>0.0359773128008781</v>
      </c>
      <c r="D293" s="21">
        <v>0.005385001871521137</v>
      </c>
      <c r="E293" s="21">
        <v>6.424146623034563E-4</v>
      </c>
      <c r="F293" s="232">
        <v>567.9695879530783</v>
      </c>
      <c r="G293" s="171">
        <v>7.304815457038232</v>
      </c>
      <c r="H293" s="230">
        <v>1189.640816892353</v>
      </c>
      <c r="I293" s="230">
        <v>11016.168978614282</v>
      </c>
      <c r="J293" s="170">
        <v>221074.28900000005</v>
      </c>
    </row>
    <row r="294">
      <c r="A294" s="229">
        <v>43363.0</v>
      </c>
      <c r="B294" s="21">
        <v>-0.033197210394687766</v>
      </c>
      <c r="C294" s="21">
        <v>0.036011253662011</v>
      </c>
      <c r="D294" s="21">
        <v>0.002814043267323235</v>
      </c>
      <c r="E294" s="21">
        <v>-0.0031830947441572476</v>
      </c>
      <c r="F294" s="232">
        <v>-2833.323054303443</v>
      </c>
      <c r="G294" s="171">
        <v>39.89095991161175</v>
      </c>
      <c r="H294" s="230">
        <v>621.6712289392748</v>
      </c>
      <c r="I294" s="230">
        <v>11008.864163157243</v>
      </c>
      <c r="J294" s="170">
        <v>220526.65700000006</v>
      </c>
    </row>
    <row r="295">
      <c r="A295" s="229">
        <v>43362.0</v>
      </c>
      <c r="B295" s="21">
        <v>-0.020405957737219402</v>
      </c>
      <c r="C295" s="21">
        <v>0.03604525862297607</v>
      </c>
      <c r="D295" s="21">
        <v>0.015639300885756668</v>
      </c>
      <c r="E295" s="21">
        <v>-0.0024484107236738173</v>
      </c>
      <c r="F295" s="232">
        <v>-2204.471981023731</v>
      </c>
      <c r="G295" s="171">
        <v>32.1777075139869</v>
      </c>
      <c r="H295" s="230">
        <v>3454.9942832427178</v>
      </c>
      <c r="I295" s="230">
        <v>10968.97320324563</v>
      </c>
      <c r="J295" s="170">
        <v>221858.99800000008</v>
      </c>
    </row>
    <row r="296">
      <c r="A296" s="229">
        <v>43361.0</v>
      </c>
      <c r="B296" s="21">
        <v>-0.01046131275362734</v>
      </c>
      <c r="C296" s="21">
        <v>0.03607932786553087</v>
      </c>
      <c r="D296" s="21">
        <v>0.02561801511190353</v>
      </c>
      <c r="E296" s="21">
        <v>-0.0029415907769446614</v>
      </c>
      <c r="F296" s="232">
        <v>-2629.0714275604687</v>
      </c>
      <c r="G296" s="171">
        <v>63.79148314263934</v>
      </c>
      <c r="H296" s="230">
        <v>5659.466264266449</v>
      </c>
      <c r="I296" s="230">
        <v>10936.795495731643</v>
      </c>
      <c r="J296" s="170">
        <v>223179.957</v>
      </c>
    </row>
    <row r="297">
      <c r="A297" s="229">
        <v>43360.0</v>
      </c>
      <c r="B297" s="21">
        <v>0.0014052502515507993</v>
      </c>
      <c r="C297" s="21">
        <v>0.036113461572120774</v>
      </c>
      <c r="D297" s="21">
        <v>0.03751871182367157</v>
      </c>
      <c r="E297" s="21">
        <v>-0.002605239901936235</v>
      </c>
      <c r="F297" s="232">
        <v>-2360.808687903973</v>
      </c>
      <c r="G297" s="171">
        <v>15.734558082638815</v>
      </c>
      <c r="H297" s="230">
        <v>8288.537691826918</v>
      </c>
      <c r="I297" s="230">
        <v>10873.004012589005</v>
      </c>
      <c r="J297" s="170">
        <v>225822.94599999994</v>
      </c>
    </row>
    <row r="298">
      <c r="A298" s="229">
        <v>43357.0</v>
      </c>
      <c r="B298" s="21">
        <v>0.01198884502656722</v>
      </c>
      <c r="C298" s="21">
        <v>0.036216251310940854</v>
      </c>
      <c r="D298" s="21">
        <v>0.04820509633750807</v>
      </c>
      <c r="E298" s="21">
        <v>-8.770459398840324E-4</v>
      </c>
      <c r="F298" s="232">
        <v>-799.7204511487707</v>
      </c>
      <c r="G298" s="171">
        <v>8.676620781296766</v>
      </c>
      <c r="H298" s="230">
        <v>10649.34637973089</v>
      </c>
      <c r="I298" s="230">
        <v>10857.269454506366</v>
      </c>
      <c r="J298" s="170">
        <v>227447.71399999986</v>
      </c>
    </row>
    <row r="299">
      <c r="A299" s="229">
        <v>43356.0</v>
      </c>
      <c r="B299" s="21">
        <v>0.01557444857331324</v>
      </c>
      <c r="C299" s="21">
        <v>0.03625064471199588</v>
      </c>
      <c r="D299" s="21">
        <v>0.05182509328530912</v>
      </c>
      <c r="E299" s="21">
        <v>-0.002298614356148906</v>
      </c>
      <c r="F299" s="232">
        <v>-2084.130249669259</v>
      </c>
      <c r="G299" s="171">
        <v>48.03178640479901</v>
      </c>
      <c r="H299" s="230">
        <v>11449.066830879661</v>
      </c>
      <c r="I299" s="230">
        <v>10848.59283372507</v>
      </c>
      <c r="J299" s="170">
        <v>228570.3499999998</v>
      </c>
    </row>
    <row r="300">
      <c r="A300" s="229">
        <v>43355.0</v>
      </c>
      <c r="B300" s="21">
        <v>0.024973967785983042</v>
      </c>
      <c r="C300" s="21">
        <v>0.036285103499744925</v>
      </c>
      <c r="D300" s="21">
        <v>0.06125907128572797</v>
      </c>
      <c r="E300" s="21">
        <v>-0.0013279996367479862</v>
      </c>
      <c r="F300" s="232">
        <v>-1214.552733057435</v>
      </c>
      <c r="G300" s="171">
        <v>50.2796890908438</v>
      </c>
      <c r="H300" s="230">
        <v>13533.19708054892</v>
      </c>
      <c r="I300" s="230">
        <v>10800.56104732027</v>
      </c>
      <c r="J300" s="170">
        <v>229841.55199999985</v>
      </c>
    </row>
    <row r="301">
      <c r="A301" s="229">
        <v>43354.0</v>
      </c>
      <c r="B301" s="21">
        <v>0.03043721102643443</v>
      </c>
      <c r="C301" s="21">
        <v>0.036319627860829366</v>
      </c>
      <c r="D301" s="21">
        <v>0.0667568388872638</v>
      </c>
      <c r="E301" s="21">
        <v>-6.264254085323545E-4</v>
      </c>
      <c r="F301" s="232">
        <v>-486.7353784344177</v>
      </c>
      <c r="G301" s="171">
        <v>28.548032972911816</v>
      </c>
      <c r="H301" s="230">
        <v>14747.749813606355</v>
      </c>
      <c r="I301" s="230">
        <v>10750.281358229427</v>
      </c>
      <c r="J301" s="170">
        <v>231462.55199999985</v>
      </c>
    </row>
    <row r="302">
      <c r="A302" s="229">
        <v>43353.0</v>
      </c>
      <c r="B302" s="21">
        <v>0.03303789259607759</v>
      </c>
      <c r="C302" s="21">
        <v>0.03592219191506436</v>
      </c>
      <c r="D302" s="21">
        <v>0.06896008451114194</v>
      </c>
      <c r="E302" s="21">
        <v>-0.0012774103801707138</v>
      </c>
      <c r="F302" s="232">
        <v>-1206.2412974921335</v>
      </c>
      <c r="G302" s="171">
        <v>55.00622192701647</v>
      </c>
      <c r="H302" s="230">
        <v>15234.485192040773</v>
      </c>
      <c r="I302" s="230">
        <v>10721.733325256515</v>
      </c>
      <c r="J302" s="170">
        <v>231931.3079999999</v>
      </c>
    </row>
    <row r="303">
      <c r="A303" s="229">
        <v>43350.0</v>
      </c>
      <c r="B303" s="21">
        <v>0.038395108920118846</v>
      </c>
      <c r="C303" s="21">
        <v>0.03602512083172643</v>
      </c>
      <c r="D303" s="21">
        <v>0.07442022975184528</v>
      </c>
      <c r="E303" s="21">
        <v>5.392939654665401E-4</v>
      </c>
      <c r="F303" s="232">
        <v>476.18706924316393</v>
      </c>
      <c r="G303" s="171">
        <v>18.64809352987053</v>
      </c>
      <c r="H303" s="230">
        <v>16440.726489532906</v>
      </c>
      <c r="I303" s="230">
        <v>10666.727103329498</v>
      </c>
      <c r="J303" s="170">
        <v>232884.63799999998</v>
      </c>
    </row>
    <row r="304">
      <c r="A304" s="229">
        <v>43349.0</v>
      </c>
      <c r="B304" s="21">
        <v>0.036205170197774986</v>
      </c>
      <c r="C304" s="21">
        <v>0.036059561673821766</v>
      </c>
      <c r="D304" s="21">
        <v>0.07226473187159675</v>
      </c>
      <c r="E304" s="21">
        <v>0.0018539586834947904</v>
      </c>
      <c r="F304" s="232">
        <v>1666.7362568207645</v>
      </c>
      <c r="G304" s="171">
        <v>68.22116216205556</v>
      </c>
      <c r="H304" s="230">
        <v>15964.539420289742</v>
      </c>
      <c r="I304" s="230">
        <v>10648.079009799627</v>
      </c>
      <c r="J304" s="170">
        <v>232660.66399999993</v>
      </c>
    </row>
    <row r="305">
      <c r="A305" s="229">
        <v>43348.0</v>
      </c>
      <c r="B305" s="21">
        <v>0.028626051877722686</v>
      </c>
      <c r="C305" s="21">
        <v>0.03609406843140437</v>
      </c>
      <c r="D305" s="21">
        <v>0.06472012030912705</v>
      </c>
      <c r="E305" s="21">
        <v>-0.007022435945771128</v>
      </c>
      <c r="F305" s="232">
        <v>-5703.491552132289</v>
      </c>
      <c r="G305" s="171">
        <v>5.858752757161225</v>
      </c>
      <c r="H305" s="230">
        <v>14297.803163468978</v>
      </c>
      <c r="I305" s="230">
        <v>10579.857847637571</v>
      </c>
      <c r="J305" s="170">
        <v>232524.04399999965</v>
      </c>
    </row>
    <row r="306">
      <c r="A306" s="229">
        <v>43347.0</v>
      </c>
      <c r="B306" s="21">
        <v>0.05440877802374997</v>
      </c>
      <c r="C306" s="21">
        <v>0.036128641293886564</v>
      </c>
      <c r="D306" s="21">
        <v>0.09053741931763654</v>
      </c>
      <c r="E306" s="21">
        <v>-0.0018697871013772587</v>
      </c>
      <c r="F306" s="232">
        <v>-1734.5222354209945</v>
      </c>
      <c r="G306" s="171">
        <v>36.52229873508229</v>
      </c>
      <c r="H306" s="230">
        <v>20001.294715601267</v>
      </c>
      <c r="I306" s="230">
        <v>10573.99909488041</v>
      </c>
      <c r="J306" s="170">
        <v>237018.66599999974</v>
      </c>
    </row>
    <row r="307">
      <c r="A307" s="229">
        <v>43346.0</v>
      </c>
      <c r="B307" s="21">
        <v>0.06222558894368782</v>
      </c>
      <c r="C307" s="21">
        <v>0.036163280451407064</v>
      </c>
      <c r="D307" s="21">
        <v>0.09838886939509489</v>
      </c>
      <c r="E307" s="21">
        <v>-0.0017270819217674056</v>
      </c>
      <c r="F307" s="232">
        <v>-3732.4005460908265</v>
      </c>
      <c r="G307" s="171">
        <v>69.34355600333265</v>
      </c>
      <c r="H307" s="230">
        <v>21735.81695102226</v>
      </c>
      <c r="I307" s="230">
        <v>10537.476796145327</v>
      </c>
      <c r="J307" s="170">
        <v>237280.13999999978</v>
      </c>
    </row>
    <row r="308">
      <c r="A308" s="229">
        <v>43343.0</v>
      </c>
      <c r="B308" s="21">
        <v>0.07577851635817813</v>
      </c>
      <c r="C308" s="21">
        <v>0.03950535499092612</v>
      </c>
      <c r="D308" s="21">
        <v>0.11528387134910426</v>
      </c>
      <c r="E308" s="21">
        <v>0.00444317487159717</v>
      </c>
      <c r="F308" s="232">
        <v>4441.626174806483</v>
      </c>
      <c r="G308" s="171">
        <v>15.569970278792368</v>
      </c>
      <c r="H308" s="230">
        <v>25468.217497113088</v>
      </c>
      <c r="I308" s="230">
        <v>10468.133240141995</v>
      </c>
      <c r="J308" s="170">
        <v>240234.7119999997</v>
      </c>
    </row>
    <row r="309">
      <c r="A309" s="229">
        <v>43342.0</v>
      </c>
      <c r="B309" s="21">
        <v>0.05563512684442858</v>
      </c>
      <c r="C309" s="21">
        <v>0.039543377469261946</v>
      </c>
      <c r="D309" s="21">
        <v>0.09517850431369053</v>
      </c>
      <c r="E309" s="21">
        <v>0.005256470062374909</v>
      </c>
      <c r="F309" s="232">
        <v>5222.66244556693</v>
      </c>
      <c r="G309" s="171">
        <v>5.5838290911460655</v>
      </c>
      <c r="H309" s="230">
        <v>21026.591322306605</v>
      </c>
      <c r="I309" s="230">
        <v>10452.563269863203</v>
      </c>
      <c r="J309" s="170">
        <v>236353.30799999973</v>
      </c>
    </row>
    <row r="310">
      <c r="A310" s="229">
        <v>43341.0</v>
      </c>
      <c r="B310" s="21">
        <v>0.03195624252050753</v>
      </c>
      <c r="C310" s="21">
        <v>0.039581473208635025</v>
      </c>
      <c r="D310" s="21">
        <v>0.07153771572914255</v>
      </c>
      <c r="E310" s="21">
        <v>3.4260761994863337E-4</v>
      </c>
      <c r="F310" s="232">
        <v>267.33199133426024</v>
      </c>
      <c r="G310" s="171">
        <v>62.7976120332193</v>
      </c>
      <c r="H310" s="230">
        <v>15803.928876739676</v>
      </c>
      <c r="I310" s="230">
        <v>10446.979440772058</v>
      </c>
      <c r="J310" s="170">
        <v>232204.29999999993</v>
      </c>
    </row>
    <row r="311">
      <c r="A311" s="229">
        <v>43340.0</v>
      </c>
      <c r="B311" s="21">
        <v>0.030707974215042216</v>
      </c>
      <c r="C311" s="21">
        <v>0.03961964242098665</v>
      </c>
      <c r="D311" s="21">
        <v>0.07032761663602886</v>
      </c>
      <c r="E311" s="21">
        <v>-0.006400030545955846</v>
      </c>
      <c r="F311" s="232">
        <v>-8243.413114594583</v>
      </c>
      <c r="G311" s="171">
        <v>69.36487544954981</v>
      </c>
      <c r="H311" s="230">
        <v>15536.596885405415</v>
      </c>
      <c r="I311" s="230">
        <v>10384.18182873884</v>
      </c>
      <c r="J311" s="170">
        <v>231276.75200000004</v>
      </c>
    </row>
    <row r="312">
      <c r="A312" s="229">
        <v>43339.0</v>
      </c>
      <c r="B312" s="21">
        <v>0.068</v>
      </c>
      <c r="C312" s="21">
        <v>0.0397</v>
      </c>
      <c r="D312" s="21">
        <v>0.1076</v>
      </c>
      <c r="E312" s="21">
        <v>-0.0022</v>
      </c>
      <c r="F312" s="232">
        <v>-0.0018619169859448448</v>
      </c>
      <c r="G312" s="171">
        <v>58.78346389693025</v>
      </c>
      <c r="H312" s="230">
        <v>23780.01</v>
      </c>
      <c r="I312" s="230">
        <v>10314.81695328929</v>
      </c>
      <c r="J312" s="170">
        <v>235485.9859999998</v>
      </c>
    </row>
    <row r="313">
      <c r="A313" s="229">
        <v>43336.0</v>
      </c>
      <c r="B313" s="21">
        <v>0.067984191653141</v>
      </c>
      <c r="C313" s="21">
        <v>0.03965788531907641</v>
      </c>
      <c r="D313" s="21">
        <v>0.107642076972217</v>
      </c>
      <c r="E313" s="21">
        <v>-0.002240447656546123</v>
      </c>
      <c r="F313" s="232">
        <v>-311.4749841918165</v>
      </c>
      <c r="G313" s="171">
        <v>69.5558042722958</v>
      </c>
      <c r="H313" s="230">
        <v>23780.011861916984</v>
      </c>
      <c r="I313" s="230">
        <v>10256.03348939236</v>
      </c>
      <c r="J313" s="170">
        <v>238468.49599999993</v>
      </c>
    </row>
    <row r="314">
      <c r="A314" s="229">
        <v>43335.0</v>
      </c>
      <c r="B314" s="21">
        <v>0.06927893449502678</v>
      </c>
      <c r="C314" s="21">
        <v>0.03977305826772813</v>
      </c>
      <c r="D314" s="21">
        <v>0.10905199276275492</v>
      </c>
      <c r="E314" s="21">
        <v>-0.0021275216460599606</v>
      </c>
      <c r="F314" s="232">
        <v>-2085.880252181283</v>
      </c>
      <c r="G314" s="171">
        <v>8.968510330282884</v>
      </c>
      <c r="H314" s="230">
        <v>24091.4868461088</v>
      </c>
      <c r="I314" s="230">
        <v>10186.477685120064</v>
      </c>
      <c r="J314" s="170">
        <v>238746.22200000007</v>
      </c>
    </row>
    <row r="315">
      <c r="A315" s="229">
        <v>43334.0</v>
      </c>
      <c r="B315" s="21">
        <v>0.07868229423305845</v>
      </c>
      <c r="C315" s="21">
        <v>0.03981159805287127</v>
      </c>
      <c r="D315" s="21">
        <v>0.11849389228592971</v>
      </c>
      <c r="E315" s="21">
        <v>0.0032385474691262435</v>
      </c>
      <c r="F315" s="232">
        <v>3123.962496787917</v>
      </c>
      <c r="G315" s="171">
        <v>35.403556436788996</v>
      </c>
      <c r="H315" s="230">
        <v>26177.367098290084</v>
      </c>
      <c r="I315" s="230">
        <v>10177.50917478978</v>
      </c>
      <c r="J315" s="170">
        <v>237761.79000000015</v>
      </c>
    </row>
    <row r="316">
      <c r="A316" s="229">
        <v>43333.0</v>
      </c>
      <c r="B316" s="21">
        <v>0.06450281998033634</v>
      </c>
      <c r="C316" s="21">
        <v>0.03985021259996426</v>
      </c>
      <c r="D316" s="21">
        <v>0.1043530325803006</v>
      </c>
      <c r="E316" s="21">
        <v>-0.003173666530684312</v>
      </c>
      <c r="F316" s="232">
        <v>-3101.6282718442344</v>
      </c>
      <c r="G316" s="171">
        <v>25.976396519332454</v>
      </c>
      <c r="H316" s="230">
        <v>23053.404601502167</v>
      </c>
      <c r="I316" s="230">
        <v>10142.10561835299</v>
      </c>
      <c r="J316" s="170">
        <v>240901.05200000003</v>
      </c>
    </row>
    <row r="317">
      <c r="A317" s="229">
        <v>43332.0</v>
      </c>
      <c r="B317" s="21">
        <v>0.07850389254935898</v>
      </c>
      <c r="C317" s="21">
        <v>0.03988890212676034</v>
      </c>
      <c r="D317" s="21">
        <v>0.11839279467611932</v>
      </c>
      <c r="E317" s="21">
        <v>-0.006179198734281191</v>
      </c>
      <c r="F317" s="232">
        <v>-6139.807878311822</v>
      </c>
      <c r="G317" s="171">
        <v>9.90007042977294</v>
      </c>
      <c r="H317" s="230">
        <v>26155.0328733464</v>
      </c>
      <c r="I317" s="230">
        <v>10116.129221833658</v>
      </c>
      <c r="J317" s="170">
        <v>246596.57000000007</v>
      </c>
    </row>
    <row r="318">
      <c r="A318" s="229">
        <v>43329.0</v>
      </c>
      <c r="B318" s="21">
        <v>0.10614069912334669</v>
      </c>
      <c r="C318" s="21">
        <v>0.040044414415753564</v>
      </c>
      <c r="D318" s="21">
        <v>0.14618511353910024</v>
      </c>
      <c r="E318" s="21">
        <v>-5.012328035095623E-4</v>
      </c>
      <c r="F318" s="232">
        <v>-524.770169630785</v>
      </c>
      <c r="G318" s="171">
        <v>7.21316265255825</v>
      </c>
      <c r="H318" s="230">
        <v>32294.840751658223</v>
      </c>
      <c r="I318" s="230">
        <v>10106.229151403886</v>
      </c>
      <c r="J318" s="170">
        <v>244729.06200000015</v>
      </c>
    </row>
    <row r="319">
      <c r="A319" s="229">
        <v>43328.0</v>
      </c>
      <c r="B319" s="21">
        <v>0.10847704447240984</v>
      </c>
      <c r="C319" s="21">
        <v>0.040083482137134786</v>
      </c>
      <c r="D319" s="21">
        <v>0.14856052660954464</v>
      </c>
      <c r="E319" s="21">
        <v>-0.002273905293610541</v>
      </c>
      <c r="F319" s="232">
        <v>-2273.1548850170875</v>
      </c>
      <c r="G319" s="171">
        <v>41.70877380789855</v>
      </c>
      <c r="H319" s="230">
        <v>32819.61092128901</v>
      </c>
      <c r="I319" s="230">
        <v>10099.015988751327</v>
      </c>
      <c r="J319" s="170">
        <v>244235.598</v>
      </c>
    </row>
    <row r="320">
      <c r="A320" s="229">
        <v>43327.0</v>
      </c>
      <c r="B320" s="21">
        <v>0.11872751319071409</v>
      </c>
      <c r="C320" s="21">
        <v>0.04012262616265933</v>
      </c>
      <c r="D320" s="21">
        <v>0.15885013935337342</v>
      </c>
      <c r="E320" s="21">
        <v>-2.0353365648355541E-4</v>
      </c>
      <c r="F320" s="232">
        <v>-235.5570376672913</v>
      </c>
      <c r="G320" s="171">
        <v>23.35252755247794</v>
      </c>
      <c r="H320" s="230">
        <v>35092.765806306095</v>
      </c>
      <c r="I320" s="230">
        <v>10057.307214943428</v>
      </c>
      <c r="J320" s="170">
        <v>246701.27000000014</v>
      </c>
    </row>
    <row r="321">
      <c r="A321" s="229">
        <v>43326.0</v>
      </c>
      <c r="B321" s="21">
        <v>0.11975455992626087</v>
      </c>
      <c r="C321" s="21">
        <v>0.04016184671609302</v>
      </c>
      <c r="D321" s="21">
        <v>0.1599164066423539</v>
      </c>
      <c r="E321" s="21">
        <v>0.004360065045290208</v>
      </c>
      <c r="F321" s="232">
        <v>4281.6719254785385</v>
      </c>
      <c r="G321" s="171">
        <v>29.853634972464693</v>
      </c>
      <c r="H321" s="230">
        <v>35328.32284397339</v>
      </c>
      <c r="I321" s="230">
        <v>10033.954687390951</v>
      </c>
      <c r="J321" s="170">
        <v>246441.81799999997</v>
      </c>
    </row>
    <row r="322">
      <c r="A322" s="229">
        <v>43325.0</v>
      </c>
      <c r="B322" s="21">
        <v>0.10033394096037263</v>
      </c>
      <c r="C322" s="21">
        <v>0.04020114402207745</v>
      </c>
      <c r="D322" s="21">
        <v>0.14053508498245007</v>
      </c>
      <c r="E322" s="21">
        <v>-0.002827535259083948</v>
      </c>
      <c r="F322" s="232">
        <v>-2886.5101192577677</v>
      </c>
      <c r="G322" s="171">
        <v>54.36903418867845</v>
      </c>
      <c r="H322" s="230">
        <v>31046.650918494848</v>
      </c>
      <c r="I322" s="230">
        <v>10004.101052418486</v>
      </c>
      <c r="J322" s="170">
        <v>242998.27399999998</v>
      </c>
    </row>
    <row r="323">
      <c r="A323" s="229">
        <v>43322.0</v>
      </c>
      <c r="B323" s="21">
        <v>0.11328159928051887</v>
      </c>
      <c r="C323" s="21">
        <v>0.040319498714978565</v>
      </c>
      <c r="D323" s="21">
        <v>0.15360109799549743</v>
      </c>
      <c r="E323" s="21">
        <v>0.014858944085092909</v>
      </c>
      <c r="F323" s="232">
        <v>14711.25373820659</v>
      </c>
      <c r="G323" s="171">
        <v>1.3009658845804772</v>
      </c>
      <c r="H323" s="230">
        <v>33933.161037752616</v>
      </c>
      <c r="I323" s="230">
        <v>9949.732018229808</v>
      </c>
      <c r="J323" s="170">
        <v>245458.45400000014</v>
      </c>
    </row>
    <row r="324">
      <c r="A324" s="229">
        <v>43321.0</v>
      </c>
      <c r="B324" s="21">
        <v>0.046650356142579105</v>
      </c>
      <c r="C324" s="21">
        <v>0.04035910529524868</v>
      </c>
      <c r="D324" s="21">
        <v>0.08700946143782778</v>
      </c>
      <c r="E324" s="21">
        <v>0.006960278790708909</v>
      </c>
      <c r="F324" s="232">
        <v>6791.87992021392</v>
      </c>
      <c r="G324" s="171">
        <v>45.05862757144372</v>
      </c>
      <c r="H324" s="230">
        <v>19221.907299546026</v>
      </c>
      <c r="I324" s="230">
        <v>9948.431052345228</v>
      </c>
      <c r="J324" s="170">
        <v>233472.69200000016</v>
      </c>
    </row>
    <row r="325">
      <c r="A325" s="229">
        <v>43320.0</v>
      </c>
      <c r="B325" s="21">
        <v>0.015866697893814938</v>
      </c>
      <c r="C325" s="21">
        <v>0.04039878976456554</v>
      </c>
      <c r="D325" s="21">
        <v>0.05626548765838048</v>
      </c>
      <c r="E325" s="21">
        <v>-0.002092917335277462</v>
      </c>
      <c r="F325" s="232">
        <v>-2047.948729139538</v>
      </c>
      <c r="G325" s="171">
        <v>25.3396005380463</v>
      </c>
      <c r="H325" s="230">
        <v>12430.027379332107</v>
      </c>
      <c r="I325" s="230">
        <v>9903.372424773785</v>
      </c>
      <c r="J325" s="170">
        <v>229954.31000000006</v>
      </c>
    </row>
    <row r="326">
      <c r="A326" s="229">
        <v>43319.0</v>
      </c>
      <c r="B326" s="21">
        <v>0.025097134833422557</v>
      </c>
      <c r="C326" s="21">
        <v>0.0404385523529165</v>
      </c>
      <c r="D326" s="21">
        <v>0.06553568718633905</v>
      </c>
      <c r="E326" s="21">
        <v>-0.003955628267148287</v>
      </c>
      <c r="F326" s="232">
        <v>-3233.3909654870513</v>
      </c>
      <c r="G326" s="171">
        <v>3.544542264416781</v>
      </c>
      <c r="H326" s="230">
        <v>14477.976108471645</v>
      </c>
      <c r="I326" s="230">
        <v>9878.03282423574</v>
      </c>
      <c r="J326" s="170">
        <v>231561.37800000003</v>
      </c>
    </row>
    <row r="327">
      <c r="A327" s="229">
        <v>43318.0</v>
      </c>
      <c r="B327" s="21">
        <v>0.03969349009257376</v>
      </c>
      <c r="C327" s="21">
        <v>0.040478393291195236</v>
      </c>
      <c r="D327" s="21">
        <v>0.08017188338376899</v>
      </c>
      <c r="E327" s="21">
        <v>0.006430065556227211</v>
      </c>
      <c r="F327" s="232">
        <v>6264.557157083458</v>
      </c>
      <c r="G327" s="171">
        <v>21.646447949552964</v>
      </c>
      <c r="H327" s="230">
        <v>17711.367073958696</v>
      </c>
      <c r="I327" s="230">
        <v>9874.488281971322</v>
      </c>
      <c r="J327" s="170">
        <v>233676.696</v>
      </c>
    </row>
    <row r="328">
      <c r="A328" s="229">
        <v>43315.0</v>
      </c>
      <c r="B328" s="21">
        <v>0.011216488659952556</v>
      </c>
      <c r="C328" s="21">
        <v>0.04059838852822446</v>
      </c>
      <c r="D328" s="21">
        <v>0.05181487718817702</v>
      </c>
      <c r="E328" s="21">
        <v>0.005005098160566388</v>
      </c>
      <c r="F328" s="232">
        <v>4879.014472655198</v>
      </c>
      <c r="G328" s="171">
        <v>41.63517510280008</v>
      </c>
      <c r="H328" s="230">
        <v>11446.809916875238</v>
      </c>
      <c r="I328" s="230">
        <v>9852.841834021769</v>
      </c>
      <c r="J328" s="170">
        <v>229784.50800000015</v>
      </c>
    </row>
    <row r="329">
      <c r="A329" s="229">
        <v>43314.0</v>
      </c>
      <c r="B329" s="21">
        <v>-0.010908907258447457</v>
      </c>
      <c r="C329" s="21">
        <v>0.04063854519343537</v>
      </c>
      <c r="D329" s="21">
        <v>0.029729637934987913</v>
      </c>
      <c r="E329" s="21">
        <v>0.004930361932714623</v>
      </c>
      <c r="F329" s="232">
        <v>4791.453490378414</v>
      </c>
      <c r="G329" s="171">
        <v>36.68792385466284</v>
      </c>
      <c r="H329" s="230">
        <v>6567.79544422004</v>
      </c>
      <c r="I329" s="230">
        <v>9811.206658918969</v>
      </c>
      <c r="J329" s="170">
        <v>225758.47800000024</v>
      </c>
    </row>
    <row r="330">
      <c r="A330" s="229">
        <v>43313.0</v>
      </c>
      <c r="B330" s="21">
        <v>-0.032638031084714206</v>
      </c>
      <c r="C330" s="21">
        <v>0.0406787813767952</v>
      </c>
      <c r="D330" s="21">
        <v>0.008040750292080998</v>
      </c>
      <c r="E330" s="21">
        <v>-0.0026181042221789285</v>
      </c>
      <c r="F330" s="232">
        <v>-960.3205916210429</v>
      </c>
      <c r="G330" s="171">
        <v>25.577839444807616</v>
      </c>
      <c r="H330" s="230">
        <v>1776.3419538416254</v>
      </c>
      <c r="I330" s="230">
        <v>9774.518735064306</v>
      </c>
      <c r="J330" s="170">
        <v>222144.71800000023</v>
      </c>
    </row>
    <row r="331">
      <c r="A331" s="229">
        <v>43312.0</v>
      </c>
      <c r="B331" s="21">
        <v>-0.02829106508480136</v>
      </c>
      <c r="C331" s="21">
        <v>0.0406787813767952</v>
      </c>
      <c r="D331" s="21">
        <v>0.012387716291993842</v>
      </c>
      <c r="E331" s="21">
        <v>0.0029556130585910332</v>
      </c>
      <c r="F331" s="232">
        <v>2779.9357793658637</v>
      </c>
      <c r="G331" s="171">
        <v>42.94823170344943</v>
      </c>
      <c r="H331" s="230">
        <v>2736.6625454626683</v>
      </c>
      <c r="I331" s="230">
        <v>9748.940895619498</v>
      </c>
      <c r="J331" s="170">
        <v>223579.75000000012</v>
      </c>
    </row>
    <row r="332">
      <c r="A332" s="229">
        <v>43311.0</v>
      </c>
      <c r="B332" s="21">
        <v>-0.04476676196123595</v>
      </c>
      <c r="C332" s="21">
        <v>0.04457088229550272</v>
      </c>
      <c r="D332" s="21">
        <v>-1.9587966573322846E-4</v>
      </c>
      <c r="E332" s="21">
        <v>-0.00794027208299974</v>
      </c>
      <c r="F332" s="232">
        <v>-8008.810143885387</v>
      </c>
      <c r="G332" s="171">
        <v>0.7047839397425559</v>
      </c>
      <c r="H332" s="230">
        <v>-43.27323390319537</v>
      </c>
      <c r="I332" s="230">
        <v>9705.99266391605</v>
      </c>
      <c r="J332" s="170">
        <v>220965.11999999994</v>
      </c>
    </row>
    <row r="333">
      <c r="A333" s="229">
        <v>43308.0</v>
      </c>
      <c r="B333" s="21">
        <v>-0.00869165523015001</v>
      </c>
      <c r="C333" s="21">
        <v>0.044748278841952475</v>
      </c>
      <c r="D333" s="21">
        <v>0.036056623611802466</v>
      </c>
      <c r="E333" s="21">
        <v>-8.540861288220167E-4</v>
      </c>
      <c r="F333" s="232">
        <v>-877.1024480066035</v>
      </c>
      <c r="G333" s="171">
        <v>63.906704740044525</v>
      </c>
      <c r="H333" s="230">
        <v>7965.536909982192</v>
      </c>
      <c r="I333" s="230">
        <v>9705.287879976308</v>
      </c>
      <c r="J333" s="170">
        <v>226998.6879999999</v>
      </c>
    </row>
    <row r="334">
      <c r="A334" s="229">
        <v>43307.0</v>
      </c>
      <c r="B334" s="21">
        <v>-0.004765952641704611</v>
      </c>
      <c r="C334" s="21">
        <v>0.044792848840799045</v>
      </c>
      <c r="D334" s="21">
        <v>0.040026896199094435</v>
      </c>
      <c r="E334" s="21">
        <v>0.0034243188130746774</v>
      </c>
      <c r="F334" s="232">
        <v>3482.457966002221</v>
      </c>
      <c r="G334" s="171">
        <v>52.631250017060275</v>
      </c>
      <c r="H334" s="230">
        <v>8842.639357988795</v>
      </c>
      <c r="I334" s="230">
        <v>9641.381175236264</v>
      </c>
      <c r="J334" s="170">
        <v>226777.10599999997</v>
      </c>
    </row>
    <row r="335">
      <c r="A335" s="229">
        <v>43306.0</v>
      </c>
      <c r="B335" s="21">
        <v>-0.020574228900059967</v>
      </c>
      <c r="C335" s="21">
        <v>0.044837507713023174</v>
      </c>
      <c r="D335" s="21">
        <v>0.024263278812963206</v>
      </c>
      <c r="E335" s="21">
        <v>0.004396395461449809</v>
      </c>
      <c r="F335" s="232">
        <v>4466.138809870006</v>
      </c>
      <c r="G335" s="171">
        <v>67.9407273327086</v>
      </c>
      <c r="H335" s="230">
        <v>5360.181391986574</v>
      </c>
      <c r="I335" s="230">
        <v>9588.749925219203</v>
      </c>
      <c r="J335" s="170">
        <v>226659.35000000003</v>
      </c>
    </row>
    <row r="336">
      <c r="A336" s="229">
        <v>43305.0</v>
      </c>
      <c r="B336" s="21">
        <v>-0.04083530230015413</v>
      </c>
      <c r="C336" s="21">
        <v>0.04488225572471282</v>
      </c>
      <c r="D336" s="21">
        <v>0.004046953424558693</v>
      </c>
      <c r="E336" s="21">
        <v>-0.002469321514954386</v>
      </c>
      <c r="F336" s="232">
        <v>-1128.2448186488252</v>
      </c>
      <c r="G336" s="171">
        <v>55.4436914036261</v>
      </c>
      <c r="H336" s="230">
        <v>894.0425821165682</v>
      </c>
      <c r="I336" s="230">
        <v>9520.809197886494</v>
      </c>
      <c r="J336" s="170">
        <v>222898.952</v>
      </c>
    </row>
    <row r="337">
      <c r="A337" s="229">
        <v>43304.0</v>
      </c>
      <c r="B337" s="221">
        <v>-0.035818158599788125</v>
      </c>
      <c r="C337" s="221">
        <v>0.044972200124962745</v>
      </c>
      <c r="D337" s="221">
        <v>0.00915404152517462</v>
      </c>
      <c r="E337" s="221">
        <v>-0.002469321514954386</v>
      </c>
      <c r="F337" s="232">
        <v>-1128.2448186488252</v>
      </c>
      <c r="G337" s="171">
        <v>3.8593901115902653</v>
      </c>
      <c r="H337" s="230">
        <v>2022.2874007653934</v>
      </c>
      <c r="I337" s="230">
        <v>9465.365506482867</v>
      </c>
      <c r="J337" s="170">
        <v>220462.51799999987</v>
      </c>
    </row>
    <row r="338">
      <c r="A338" s="229">
        <v>43301.0</v>
      </c>
      <c r="B338" s="21">
        <v>-0.03080101489942212</v>
      </c>
      <c r="C338" s="21">
        <v>0.04506214452521267</v>
      </c>
      <c r="D338" s="21">
        <v>0.014261129625790549</v>
      </c>
      <c r="E338" s="21">
        <v>-0.011099601525440586</v>
      </c>
      <c r="F338" s="232">
        <v>-7069.479014214974</v>
      </c>
      <c r="G338" s="171">
        <v>1.082918918450052</v>
      </c>
      <c r="H338" s="230">
        <v>3150.5322194142186</v>
      </c>
      <c r="I338" s="230">
        <v>9461.506116371276</v>
      </c>
      <c r="J338" s="170">
        <v>223870.42800000007</v>
      </c>
    </row>
    <row r="339">
      <c r="A339" s="229">
        <v>43300.0</v>
      </c>
      <c r="B339" s="21">
        <v>0.0011543350757814454</v>
      </c>
      <c r="C339" s="21">
        <v>0.0451073422629511</v>
      </c>
      <c r="D339" s="21">
        <v>0.04626167733873254</v>
      </c>
      <c r="E339" s="21">
        <v>0.0018260191553907843</v>
      </c>
      <c r="F339" s="232">
        <v>1166.324583172218</v>
      </c>
      <c r="G339" s="171">
        <v>38.74583464065666</v>
      </c>
      <c r="H339" s="230">
        <v>10220.011233629193</v>
      </c>
      <c r="I339" s="230">
        <v>9460.423197452827</v>
      </c>
      <c r="J339" s="170">
        <v>228592.88000000006</v>
      </c>
    </row>
    <row r="340">
      <c r="A340" s="229">
        <v>43299.0</v>
      </c>
      <c r="B340" s="21">
        <v>-0.00417041254291843</v>
      </c>
      <c r="C340" s="21">
        <v>0.04515263075919904</v>
      </c>
      <c r="D340" s="21">
        <v>0.04098221821628061</v>
      </c>
      <c r="E340" s="21">
        <v>0.003104335351364045</v>
      </c>
      <c r="F340" s="232">
        <v>1989.4936390998</v>
      </c>
      <c r="G340" s="171">
        <v>41.723501110343655</v>
      </c>
      <c r="H340" s="230">
        <v>9053.686650456975</v>
      </c>
      <c r="I340" s="230">
        <v>9421.67736281217</v>
      </c>
      <c r="J340" s="170">
        <v>227311.01800000004</v>
      </c>
    </row>
    <row r="341">
      <c r="A341" s="229">
        <v>43298.0</v>
      </c>
      <c r="B341" s="21">
        <v>-0.013221390078555162</v>
      </c>
      <c r="C341" s="21">
        <v>0.045198010287600246</v>
      </c>
      <c r="D341" s="21">
        <v>0.031976620209045084</v>
      </c>
      <c r="E341" s="21">
        <v>0.00267135972671557</v>
      </c>
      <c r="F341" s="232">
        <v>1709.1239146191765</v>
      </c>
      <c r="G341" s="171">
        <v>13.591996051853652</v>
      </c>
      <c r="H341" s="230">
        <v>7064.193011357175</v>
      </c>
      <c r="I341" s="230">
        <v>9379.953861701826</v>
      </c>
      <c r="J341" s="170">
        <v>225647.63199999998</v>
      </c>
    </row>
    <row r="342">
      <c r="A342" s="229">
        <v>43297.0</v>
      </c>
      <c r="B342" s="21">
        <v>-0.021003343512802402</v>
      </c>
      <c r="C342" s="21">
        <v>0.04524348112289964</v>
      </c>
      <c r="D342" s="21">
        <v>0.024240137610097235</v>
      </c>
      <c r="E342" s="21">
        <v>-0.007522455939933409</v>
      </c>
      <c r="F342" s="232">
        <v>-4673.363409837996</v>
      </c>
      <c r="G342" s="171">
        <v>4.187760062050091</v>
      </c>
      <c r="H342" s="230">
        <v>5355.069096737999</v>
      </c>
      <c r="I342" s="230">
        <v>9366.361865649973</v>
      </c>
      <c r="J342" s="170">
        <v>225049.72999999998</v>
      </c>
    </row>
    <row r="343">
      <c r="A343" s="229">
        <v>43294.0</v>
      </c>
      <c r="B343" s="21">
        <v>1.4037065896173973E-5</v>
      </c>
      <c r="C343" s="21">
        <v>0.04538044423427068</v>
      </c>
      <c r="D343" s="21">
        <v>0.04539448130016685</v>
      </c>
      <c r="E343" s="21">
        <v>0.0027726138030923345</v>
      </c>
      <c r="F343" s="232">
        <v>1580.8162964674411</v>
      </c>
      <c r="G343" s="171">
        <v>58.95544990485899</v>
      </c>
      <c r="H343" s="230">
        <v>10028.432506575995</v>
      </c>
      <c r="I343" s="230">
        <v>9362.174105587923</v>
      </c>
      <c r="J343" s="170">
        <v>228277.78200000012</v>
      </c>
    </row>
    <row r="344">
      <c r="A344" s="229">
        <v>43293.0</v>
      </c>
      <c r="B344" s="21">
        <v>-0.007187489932479689</v>
      </c>
      <c r="C344" s="21">
        <v>0.045426283066830546</v>
      </c>
      <c r="D344" s="21">
        <v>0.03823879313435086</v>
      </c>
      <c r="E344" s="21">
        <v>0.0030860621165356584</v>
      </c>
      <c r="F344" s="232">
        <v>1759.1450364541115</v>
      </c>
      <c r="G344" s="171">
        <v>53.58956878000685</v>
      </c>
      <c r="H344" s="230">
        <v>8447.616210108554</v>
      </c>
      <c r="I344" s="230">
        <v>9303.218655683064</v>
      </c>
      <c r="J344" s="170">
        <v>226753.17600000015</v>
      </c>
    </row>
    <row r="345">
      <c r="A345" s="229">
        <v>43292.0</v>
      </c>
      <c r="B345" s="21">
        <v>-0.01519632856767159</v>
      </c>
      <c r="C345" s="21">
        <v>0.045472214596726235</v>
      </c>
      <c r="D345" s="21">
        <v>0.030275886029054642</v>
      </c>
      <c r="E345" s="21">
        <v>7.043684693068704E-4</v>
      </c>
      <c r="F345" s="232">
        <v>395.8486231353618</v>
      </c>
      <c r="G345" s="171">
        <v>40.88058573085892</v>
      </c>
      <c r="H345" s="230">
        <v>6688.471173654442</v>
      </c>
      <c r="I345" s="230">
        <v>9249.629086903056</v>
      </c>
      <c r="J345" s="170">
        <v>225244.59600000008</v>
      </c>
    </row>
    <row r="346">
      <c r="A346" s="229">
        <v>43291.0</v>
      </c>
      <c r="B346" s="21">
        <v>-0.017034192719191477</v>
      </c>
      <c r="C346" s="21">
        <v>0.04551823910542738</v>
      </c>
      <c r="D346" s="21">
        <v>0.0284840463862359</v>
      </c>
      <c r="E346" s="21">
        <v>0.0013361916263893415</v>
      </c>
      <c r="F346" s="232">
        <v>757.6433981897881</v>
      </c>
      <c r="G346" s="171">
        <v>6.727894297066528</v>
      </c>
      <c r="H346" s="230">
        <v>6292.6225505190805</v>
      </c>
      <c r="I346" s="230">
        <v>9208.748501172196</v>
      </c>
      <c r="J346" s="170">
        <v>225627.6640000001</v>
      </c>
    </row>
    <row r="347">
      <c r="A347" s="229">
        <v>43290.0</v>
      </c>
      <c r="B347" s="21">
        <v>-0.020509842377643774</v>
      </c>
      <c r="C347" s="21">
        <v>0.045564356875544325</v>
      </c>
      <c r="D347" s="21">
        <v>0.02505451449790055</v>
      </c>
      <c r="E347" s="21">
        <v>0.0010687543473265765</v>
      </c>
      <c r="F347" s="232">
        <v>981.9736378905391</v>
      </c>
      <c r="G347" s="171">
        <v>57.65024813420201</v>
      </c>
      <c r="H347" s="230">
        <v>5534.979152329292</v>
      </c>
      <c r="I347" s="230">
        <v>9202.02060687513</v>
      </c>
      <c r="J347" s="170">
        <v>116987.56399999998</v>
      </c>
    </row>
    <row r="348">
      <c r="A348" s="229">
        <v>43287.0</v>
      </c>
      <c r="B348" s="21">
        <v>-0.025604417150991283</v>
      </c>
      <c r="C348" s="21">
        <v>0.0462139514475245</v>
      </c>
      <c r="D348" s="21">
        <v>0.020609534296533217</v>
      </c>
      <c r="E348" s="21">
        <v>-0.0012504394031402953</v>
      </c>
      <c r="F348" s="232">
        <v>-720.7178014481042</v>
      </c>
      <c r="G348" s="171">
        <v>68.95930526410321</v>
      </c>
      <c r="H348" s="230">
        <v>4553.005514438753</v>
      </c>
      <c r="I348" s="230">
        <v>9144.370358740929</v>
      </c>
      <c r="J348" s="170">
        <v>116496.33800000002</v>
      </c>
    </row>
    <row r="349">
      <c r="A349" s="229">
        <v>43286.0</v>
      </c>
      <c r="B349" s="21">
        <v>-0.02238904502950858</v>
      </c>
      <c r="C349" s="21">
        <v>0.046260964622954336</v>
      </c>
      <c r="D349" s="21">
        <v>0.023871919593445756</v>
      </c>
      <c r="E349" s="21">
        <v>-0.001021206223919431</v>
      </c>
      <c r="F349" s="232">
        <v>185.01502602990786</v>
      </c>
      <c r="G349" s="171">
        <v>50.83292375800308</v>
      </c>
      <c r="H349" s="230">
        <v>5273.723315886858</v>
      </c>
      <c r="I349" s="230">
        <v>9075.411053476826</v>
      </c>
      <c r="J349" s="170">
        <v>117000.59599999999</v>
      </c>
    </row>
    <row r="350">
      <c r="A350" s="229">
        <v>43285.0</v>
      </c>
      <c r="B350" s="21">
        <v>-0.01975871821550624</v>
      </c>
      <c r="C350" s="21">
        <v>0.042793152874605854</v>
      </c>
      <c r="D350" s="21">
        <v>0.023034434659099615</v>
      </c>
      <c r="E350" s="21">
        <v>-9.224676061348955E-4</v>
      </c>
      <c r="F350" s="232">
        <v>-535.7361233810925</v>
      </c>
      <c r="G350" s="171">
        <v>44.0582498203756</v>
      </c>
      <c r="H350" s="230">
        <v>5088.70828985695</v>
      </c>
      <c r="I350" s="230">
        <v>9024.578129718822</v>
      </c>
      <c r="J350" s="170">
        <v>117360.682</v>
      </c>
    </row>
    <row r="351">
      <c r="A351" s="229">
        <v>43284.0</v>
      </c>
      <c r="B351" s="21">
        <v>-0.017377288871097348</v>
      </c>
      <c r="C351" s="21">
        <v>0.04283677484491636</v>
      </c>
      <c r="D351" s="21">
        <v>0.025459485973819012</v>
      </c>
      <c r="E351" s="21">
        <v>0.0015848820404775075</v>
      </c>
      <c r="F351" s="232">
        <v>907.5509268648611</v>
      </c>
      <c r="G351" s="171">
        <v>6.547091468958986</v>
      </c>
      <c r="H351" s="230">
        <v>5624.444413238042</v>
      </c>
      <c r="I351" s="230">
        <v>8980.519879898447</v>
      </c>
      <c r="J351" s="170">
        <v>117513.64200000002</v>
      </c>
    </row>
    <row r="352">
      <c r="A352" s="229">
        <v>43283.0</v>
      </c>
      <c r="B352" s="21">
        <v>-0.02152909986566267</v>
      </c>
      <c r="C352" s="21">
        <v>0.04288048583965607</v>
      </c>
      <c r="D352" s="21">
        <v>0.0213513859739934</v>
      </c>
      <c r="E352" s="21">
        <v>-9.162127632499735E-4</v>
      </c>
      <c r="F352" s="232">
        <v>26.883321853822054</v>
      </c>
      <c r="G352" s="171">
        <v>23.07792494360512</v>
      </c>
      <c r="H352" s="230">
        <v>4716.893486373181</v>
      </c>
      <c r="I352" s="230">
        <v>8973.972788429488</v>
      </c>
      <c r="J352" s="170">
        <v>117318.65</v>
      </c>
    </row>
    <row r="353">
      <c r="A353" s="229">
        <v>43280.0</v>
      </c>
      <c r="B353" s="21">
        <v>-0.023461005539590785</v>
      </c>
      <c r="C353" s="21">
        <v>0.04469070206207923</v>
      </c>
      <c r="D353" s="21">
        <v>0.021229696522488444</v>
      </c>
      <c r="E353" s="21">
        <v>-0.0062184452906430465</v>
      </c>
      <c r="F353" s="232">
        <v>-357.34123816326246</v>
      </c>
      <c r="G353" s="171">
        <v>26.079416598712932</v>
      </c>
      <c r="H353" s="230">
        <v>4690.010164519359</v>
      </c>
      <c r="I353" s="230">
        <v>8950.894863485883</v>
      </c>
      <c r="J353" s="170">
        <v>117454.13999999998</v>
      </c>
    </row>
    <row r="354">
      <c r="A354" s="229">
        <v>43279.0</v>
      </c>
      <c r="B354" s="21">
        <v>-0.00659594949397851</v>
      </c>
      <c r="C354" s="21">
        <v>0.02944317898016231</v>
      </c>
      <c r="D354" s="21">
        <v>0.022847229486183798</v>
      </c>
      <c r="E354" s="21">
        <v>-0.0013675462055778552</v>
      </c>
      <c r="F354" s="232">
        <v>-831.6737792731547</v>
      </c>
      <c r="G354" s="171">
        <v>46.576070434055</v>
      </c>
      <c r="H354" s="230">
        <v>5047.3514026826215</v>
      </c>
      <c r="I354" s="230">
        <v>8924.815446887169</v>
      </c>
      <c r="J354" s="170">
        <v>119111.51600000003</v>
      </c>
    </row>
    <row r="355">
      <c r="A355" s="229">
        <v>43278.0</v>
      </c>
      <c r="B355" s="21">
        <v>-0.002861511448448627</v>
      </c>
      <c r="C355" s="21">
        <v>0.029473377112449652</v>
      </c>
      <c r="D355" s="21">
        <v>0.026611865664001026</v>
      </c>
      <c r="E355" s="21">
        <v>0.011888307456831304</v>
      </c>
      <c r="F355" s="232">
        <v>7195.9878168666355</v>
      </c>
      <c r="G355" s="171">
        <v>11.88728613667646</v>
      </c>
      <c r="H355" s="230">
        <v>5879.025181955776</v>
      </c>
      <c r="I355" s="230">
        <v>8878.239376453113</v>
      </c>
      <c r="J355" s="170">
        <v>117187.91</v>
      </c>
    </row>
    <row r="356">
      <c r="A356" s="229">
        <v>43277.0</v>
      </c>
      <c r="B356" s="21">
        <v>-0.03546497125674445</v>
      </c>
      <c r="C356" s="21">
        <v>0.02950363725322219</v>
      </c>
      <c r="D356" s="21">
        <v>-0.005961334003522261</v>
      </c>
      <c r="E356" s="21">
        <v>0.0030416813770725018</v>
      </c>
      <c r="F356" s="232">
        <v>1823.9887702409983</v>
      </c>
      <c r="G356" s="171">
        <v>36.360972513615664</v>
      </c>
      <c r="H356" s="230">
        <v>-1316.9626349108594</v>
      </c>
      <c r="I356" s="230">
        <v>8866.352090316437</v>
      </c>
      <c r="J356" s="170">
        <v>112893.55800000005</v>
      </c>
    </row>
    <row r="357">
      <c r="A357" s="229">
        <v>43276.0</v>
      </c>
      <c r="B357" s="21">
        <v>-0.04375172091702508</v>
      </c>
      <c r="C357" s="21">
        <v>0.029533959593667433</v>
      </c>
      <c r="D357" s="21">
        <v>-0.014217761323357649</v>
      </c>
      <c r="E357" s="21">
        <v>-0.008079244482340323</v>
      </c>
      <c r="F357" s="232">
        <v>-4709.12212674247</v>
      </c>
      <c r="G357" s="171">
        <v>17.727088761214134</v>
      </c>
      <c r="H357" s="230">
        <v>-3140.9514051518577</v>
      </c>
      <c r="I357" s="230">
        <v>8829.991117802821</v>
      </c>
      <c r="J357" s="170">
        <v>112094.77000000005</v>
      </c>
    </row>
    <row r="358">
      <c r="A358" s="229">
        <v>43273.0</v>
      </c>
      <c r="B358" s="21">
        <v>-0.022526854751128988</v>
      </c>
      <c r="C358" s="21">
        <v>0.02962530173674063</v>
      </c>
      <c r="D358" s="21">
        <v>0.007098446985611642</v>
      </c>
      <c r="E358" s="21">
        <v>-0.002066866955970422</v>
      </c>
      <c r="F358" s="232">
        <v>-1251.2506910588531</v>
      </c>
      <c r="G358" s="171">
        <v>37.7036561737493</v>
      </c>
      <c r="H358" s="230">
        <v>1568.1707215906117</v>
      </c>
      <c r="I358" s="230">
        <v>8812.264029041608</v>
      </c>
      <c r="J358" s="170">
        <v>115270.51400000005</v>
      </c>
    </row>
    <row r="359">
      <c r="A359" s="229">
        <v>43272.0</v>
      </c>
      <c r="B359" s="21">
        <v>-0.016893544049476815</v>
      </c>
      <c r="C359" s="21">
        <v>0.02965587480354841</v>
      </c>
      <c r="D359" s="21">
        <v>0.012762330754071596</v>
      </c>
      <c r="E359" s="21">
        <v>-0.005576682087729457</v>
      </c>
      <c r="F359" s="232">
        <v>-3385.030102091831</v>
      </c>
      <c r="G359" s="171">
        <v>29.035374391590697</v>
      </c>
      <c r="H359" s="230">
        <v>2819.421412649465</v>
      </c>
      <c r="I359" s="230">
        <v>8774.560372867858</v>
      </c>
      <c r="J359" s="170">
        <v>115650.91600000006</v>
      </c>
    </row>
    <row r="360">
      <c r="A360" s="229">
        <v>43271.0</v>
      </c>
      <c r="B360" s="21">
        <v>-0.0016015777166122809</v>
      </c>
      <c r="C360" s="21">
        <v>0.029686511037849597</v>
      </c>
      <c r="D360" s="21">
        <v>0.028084933321237317</v>
      </c>
      <c r="E360" s="21">
        <v>-6.041643882001327E-4</v>
      </c>
      <c r="F360" s="232">
        <v>-216.04244143950564</v>
      </c>
      <c r="G360" s="171">
        <v>15.782254330177562</v>
      </c>
      <c r="H360" s="230">
        <v>6204.451514741296</v>
      </c>
      <c r="I360" s="230">
        <v>8745.524998476267</v>
      </c>
      <c r="J360" s="170">
        <v>117356.03799999997</v>
      </c>
    </row>
    <row r="361">
      <c r="A361" s="229">
        <v>43270.0</v>
      </c>
      <c r="B361" s="21">
        <v>-6.236447683138153E-4</v>
      </c>
      <c r="C361" s="21">
        <v>0.029686511037849597</v>
      </c>
      <c r="D361" s="21">
        <v>0.029062866269535782</v>
      </c>
      <c r="E361" s="21">
        <v>0.00782791532044539</v>
      </c>
      <c r="F361" s="232">
        <v>1729.3229971985656</v>
      </c>
      <c r="G361" s="171">
        <v>54.826549232594346</v>
      </c>
      <c r="H361" s="230">
        <v>6420.493956180801</v>
      </c>
      <c r="I361" s="230">
        <v>8729.74274414609</v>
      </c>
      <c r="J361" s="170">
        <v>117994.932</v>
      </c>
    </row>
    <row r="362">
      <c r="A362" s="229">
        <v>43269.0</v>
      </c>
      <c r="B362" s="21">
        <v>-0.008482259686523266</v>
      </c>
      <c r="C362" s="21">
        <v>0.02971721063561366</v>
      </c>
      <c r="D362" s="21">
        <v>0.021234950949090392</v>
      </c>
      <c r="E362" s="21">
        <v>-0.007244470253654163</v>
      </c>
      <c r="F362" s="232">
        <v>-737.5996676240302</v>
      </c>
      <c r="G362" s="171">
        <v>8.971636991076497</v>
      </c>
      <c r="H362" s="230">
        <v>4691.170958982236</v>
      </c>
      <c r="I362" s="230">
        <v>8674.916194913496</v>
      </c>
      <c r="J362" s="170">
        <v>117008.74200000006</v>
      </c>
    </row>
    <row r="363">
      <c r="A363" s="229">
        <v>43266.0</v>
      </c>
      <c r="B363" s="21">
        <v>-0.005235938252649949</v>
      </c>
      <c r="C363" s="21">
        <v>0.029809691581575114</v>
      </c>
      <c r="D363" s="21">
        <v>0.024573753328925165</v>
      </c>
      <c r="E363" s="21">
        <v>-0.00368814008458734</v>
      </c>
      <c r="F363" s="232">
        <v>-814.7744583424874</v>
      </c>
      <c r="G363" s="171">
        <v>50.05302481546515</v>
      </c>
      <c r="H363" s="230">
        <v>5428.770626606266</v>
      </c>
      <c r="I363" s="230">
        <v>8665.94455792242</v>
      </c>
      <c r="J363" s="170">
        <v>117144.38399999999</v>
      </c>
    </row>
    <row r="364">
      <c r="A364" s="229">
        <v>43265.0</v>
      </c>
      <c r="B364" s="21">
        <v>-0.0015787531956654895</v>
      </c>
      <c r="C364" s="21">
        <v>0.029840646609177995</v>
      </c>
      <c r="D364" s="21">
        <v>0.028261893413512505</v>
      </c>
      <c r="E364" s="21">
        <v>0.02474955898878539</v>
      </c>
      <c r="F364" s="232">
        <v>5467.609162562307</v>
      </c>
      <c r="G364" s="171">
        <v>14.932605943714947</v>
      </c>
      <c r="H364" s="230">
        <v>6243.545084948753</v>
      </c>
      <c r="I364" s="230">
        <v>8615.891533106955</v>
      </c>
      <c r="J364" s="170">
        <v>116985.80800000005</v>
      </c>
    </row>
    <row r="365">
      <c r="A365" s="229">
        <v>43264.0</v>
      </c>
      <c r="B365" s="21">
        <v>-0.02635933156762051</v>
      </c>
      <c r="C365" s="21">
        <v>0.029871665992347623</v>
      </c>
      <c r="D365" s="21">
        <v>0.0035123344247271135</v>
      </c>
      <c r="E365" s="21">
        <v>0.003377853235649264</v>
      </c>
      <c r="F365" s="232">
        <v>746.2266826409025</v>
      </c>
      <c r="G365" s="171">
        <v>31.615552166454542</v>
      </c>
      <c r="H365" s="230">
        <v>775.935922386447</v>
      </c>
      <c r="I365" s="230">
        <v>8600.95892716324</v>
      </c>
      <c r="J365" s="170">
        <v>114671.53</v>
      </c>
    </row>
    <row r="366">
      <c r="A366" s="229">
        <v>43263.0</v>
      </c>
      <c r="B366" s="21">
        <v>-0.02976826874290801</v>
      </c>
      <c r="C366" s="21">
        <v>0.02990274993198586</v>
      </c>
      <c r="D366" s="21">
        <v>1.344811890778494E-4</v>
      </c>
      <c r="E366" s="21">
        <v>0.002017159723591129</v>
      </c>
      <c r="F366" s="232">
        <v>445.6257581016302</v>
      </c>
      <c r="G366" s="171">
        <v>69.72569952715254</v>
      </c>
      <c r="H366" s="230">
        <v>29.70923974554459</v>
      </c>
      <c r="I366" s="230">
        <v>8569.343374996784</v>
      </c>
      <c r="J366" s="170">
        <v>113400.714</v>
      </c>
    </row>
    <row r="367">
      <c r="A367" s="229">
        <v>43262.0</v>
      </c>
      <c r="B367" s="21">
        <v>-0.03181657716434496</v>
      </c>
      <c r="C367" s="21">
        <v>0.02993389862983168</v>
      </c>
      <c r="D367" s="21">
        <v>-0.0018826785345132796</v>
      </c>
      <c r="E367" s="21">
        <v>-0.004582503662836437</v>
      </c>
      <c r="F367" s="232">
        <v>-859.2759123944443</v>
      </c>
      <c r="G367" s="171">
        <v>32.745049480886884</v>
      </c>
      <c r="H367" s="230">
        <v>-415.9165183560856</v>
      </c>
      <c r="I367" s="230">
        <v>8499.617675469632</v>
      </c>
      <c r="J367" s="170">
        <v>113295.29000000001</v>
      </c>
    </row>
    <row r="368">
      <c r="A368" s="229">
        <v>43259.0</v>
      </c>
      <c r="B368" s="21">
        <v>-0.028020834452621296</v>
      </c>
      <c r="C368" s="21">
        <v>0.030027735302652465</v>
      </c>
      <c r="D368" s="21">
        <v>0.0020069008500311694</v>
      </c>
      <c r="E368" s="21">
        <v>0.00893930583940149</v>
      </c>
      <c r="F368" s="232">
        <v>1974.8485432247692</v>
      </c>
      <c r="G368" s="171">
        <v>67.27922327651468</v>
      </c>
      <c r="H368" s="230">
        <v>443.35939403835863</v>
      </c>
      <c r="I368" s="230">
        <v>8466.872625988744</v>
      </c>
      <c r="J368" s="170">
        <v>114497.33800000008</v>
      </c>
    </row>
    <row r="369">
      <c r="A369" s="229">
        <v>43258.0</v>
      </c>
      <c r="B369" s="21">
        <v>-0.03699155005698372</v>
      </c>
      <c r="C369" s="21">
        <v>0.0300591450676134</v>
      </c>
      <c r="D369" s="21">
        <v>-0.006932404989370321</v>
      </c>
      <c r="E369" s="21">
        <v>-5.615200528304443E-4</v>
      </c>
      <c r="F369" s="232">
        <v>-124.04957143718707</v>
      </c>
      <c r="G369" s="171">
        <v>14.25392311253389</v>
      </c>
      <c r="H369" s="230">
        <v>-1531.4891491864105</v>
      </c>
      <c r="I369" s="230">
        <v>8399.59340271223</v>
      </c>
      <c r="J369" s="170">
        <v>112703.44000000012</v>
      </c>
    </row>
    <row r="370">
      <c r="A370" s="229">
        <v>43257.0</v>
      </c>
      <c r="B370" s="21">
        <v>-0.036461505548726694</v>
      </c>
      <c r="C370" s="21">
        <v>0.030090620612186817</v>
      </c>
      <c r="D370" s="21">
        <v>-0.006370884936539877</v>
      </c>
      <c r="E370" s="21">
        <v>-0.00815082676113291</v>
      </c>
      <c r="F370" s="232">
        <v>-1800.6597653647905</v>
      </c>
      <c r="G370" s="171">
        <v>11.352696094930883</v>
      </c>
      <c r="H370" s="230">
        <v>-1407.4395777492234</v>
      </c>
      <c r="I370" s="230">
        <v>8385.339479599696</v>
      </c>
      <c r="J370" s="170">
        <v>88248.95400000009</v>
      </c>
    </row>
    <row r="371">
      <c r="A371" s="229">
        <v>43256.0</v>
      </c>
      <c r="B371" s="21">
        <v>-0.02834222031863381</v>
      </c>
      <c r="C371" s="21">
        <v>0.030122162143226845</v>
      </c>
      <c r="D371" s="21">
        <v>0.001779941824593033</v>
      </c>
      <c r="E371" s="21">
        <v>-0.007724989181165286</v>
      </c>
      <c r="F371" s="232">
        <v>-1706.5848182091925</v>
      </c>
      <c r="G371" s="171">
        <v>33.844477484303184</v>
      </c>
      <c r="H371" s="230">
        <v>393.22018761556706</v>
      </c>
      <c r="I371" s="230">
        <v>8373.986783504764</v>
      </c>
      <c r="J371" s="170">
        <v>91148.57400000008</v>
      </c>
    </row>
    <row r="372">
      <c r="A372" s="229">
        <v>43255.0</v>
      </c>
      <c r="B372" s="21">
        <v>-0.0171110087612281</v>
      </c>
      <c r="C372" s="21">
        <v>0.0304159397669864</v>
      </c>
      <c r="D372" s="21">
        <v>0.009504931005758319</v>
      </c>
      <c r="E372" s="21">
        <v>-0.0074241217901819465</v>
      </c>
      <c r="F372" s="232">
        <v>-1595.7049209982379</v>
      </c>
      <c r="G372" s="171">
        <v>9.997069032523113</v>
      </c>
      <c r="H372" s="230">
        <v>2099.8050058247595</v>
      </c>
      <c r="I372" s="230">
        <v>8340.142306020462</v>
      </c>
      <c r="J372" s="170">
        <v>90963.4520000001</v>
      </c>
    </row>
    <row r="373">
      <c r="A373" s="229">
        <v>43252.0</v>
      </c>
      <c r="B373" s="21">
        <v>-0.017667111490894838</v>
      </c>
      <c r="C373" s="21">
        <v>0.0306159397669864</v>
      </c>
      <c r="D373" s="21">
        <v>0.016728013690847914</v>
      </c>
      <c r="E373" s="21">
        <v>-0.0048475590530868695</v>
      </c>
      <c r="F373" s="232">
        <v>-1070.9103263912489</v>
      </c>
      <c r="G373" s="171">
        <v>62.15333425187566</v>
      </c>
      <c r="H373" s="230">
        <v>3695.5099268229974</v>
      </c>
      <c r="I373" s="230">
        <v>8330.145236987939</v>
      </c>
      <c r="J373" s="170">
        <v>91522.38900000008</v>
      </c>
    </row>
    <row r="374">
      <c r="A374" s="229">
        <v>43251.0</v>
      </c>
      <c r="B374" s="21">
        <v>-0.0090903324020164</v>
      </c>
      <c r="C374" s="21">
        <v>0.030665905145951182</v>
      </c>
      <c r="D374" s="21">
        <v>0.021575572743934783</v>
      </c>
      <c r="E374" s="21">
        <v>0.004115488668584633</v>
      </c>
      <c r="F374" s="232">
        <v>909.1832126370746</v>
      </c>
      <c r="G374" s="171">
        <v>56.732592094422806</v>
      </c>
      <c r="H374" s="230">
        <v>4766.420253214246</v>
      </c>
      <c r="I374" s="230">
        <v>8267.991902736063</v>
      </c>
      <c r="J374" s="170">
        <v>91750.99900000013</v>
      </c>
    </row>
    <row r="375">
      <c r="A375" s="229">
        <v>43250.0</v>
      </c>
      <c r="B375" s="21">
        <v>-0.013238203230206047</v>
      </c>
      <c r="C375" s="21">
        <v>0.030698287305556196</v>
      </c>
      <c r="D375" s="21">
        <v>0.01746008407535015</v>
      </c>
      <c r="E375" s="21">
        <v>-0.012517071391652375</v>
      </c>
      <c r="F375" s="232">
        <v>-2765.2393426669187</v>
      </c>
      <c r="G375" s="171">
        <v>9.111020088786168</v>
      </c>
      <c r="H375" s="230">
        <v>3857.2370405771717</v>
      </c>
      <c r="I375" s="230">
        <v>8211.25931064164</v>
      </c>
      <c r="J375" s="170">
        <v>91248.62100000013</v>
      </c>
    </row>
    <row r="376">
      <c r="A376" s="229">
        <v>43249.0</v>
      </c>
      <c r="B376" s="21">
        <v>-7.535824593840699E-4</v>
      </c>
      <c r="C376" s="21">
        <v>0.030730737926386593</v>
      </c>
      <c r="D376" s="21">
        <v>0.029977155467002525</v>
      </c>
      <c r="E376" s="21">
        <v>0.01618031365285199</v>
      </c>
      <c r="F376" s="232">
        <v>3574.5163832440903</v>
      </c>
      <c r="G376" s="171">
        <v>2.023182165949472</v>
      </c>
      <c r="H376" s="230">
        <v>6622.47638324409</v>
      </c>
      <c r="I376" s="230">
        <v>8202.148290552854</v>
      </c>
      <c r="J376" s="170">
        <v>93510.85500000013</v>
      </c>
    </row>
    <row r="377">
      <c r="A377" s="229">
        <v>43248.0</v>
      </c>
      <c r="B377" s="21">
        <v>-0.017</v>
      </c>
      <c r="C377" s="21">
        <v>0.0308</v>
      </c>
      <c r="D377" s="21">
        <v>0.0138</v>
      </c>
      <c r="E377" s="21">
        <v>0.0046</v>
      </c>
      <c r="F377" s="232">
        <v>1018.8696963677876</v>
      </c>
      <c r="G377" s="171">
        <v>53.33152208491444</v>
      </c>
      <c r="H377" s="230">
        <v>3047.96</v>
      </c>
      <c r="I377" s="230">
        <v>8200.125108386905</v>
      </c>
      <c r="J377" s="170">
        <v>91532.22800000012</v>
      </c>
    </row>
    <row r="378">
      <c r="A378" s="229">
        <v>43245.0</v>
      </c>
      <c r="B378" s="21">
        <v>-0.021643667339030847</v>
      </c>
      <c r="C378" s="21">
        <v>0.03082850273421179</v>
      </c>
      <c r="D378" s="21">
        <v>0.009184835395180942</v>
      </c>
      <c r="E378" s="21">
        <v>0.014658935381627339</v>
      </c>
      <c r="F378" s="232">
        <v>3238.4144478013513</v>
      </c>
      <c r="G378" s="171">
        <v>14.870823103427263</v>
      </c>
      <c r="H378" s="230">
        <v>2029.0903036322125</v>
      </c>
      <c r="I378" s="230">
        <v>8146.79358630199</v>
      </c>
      <c r="J378" s="170">
        <v>90258.72400000013</v>
      </c>
    </row>
    <row r="379">
      <c r="A379" s="229">
        <v>43244.0</v>
      </c>
      <c r="B379" s="21">
        <v>-0.03636812557450348</v>
      </c>
      <c r="C379" s="21">
        <v>0.030894025588057084</v>
      </c>
      <c r="D379" s="21">
        <v>-0.005474099986446396</v>
      </c>
      <c r="E379" s="21">
        <v>0.0049622155322448305</v>
      </c>
      <c r="F379" s="232">
        <v>1096.2399420128954</v>
      </c>
      <c r="G379" s="171">
        <v>29.162229502070076</v>
      </c>
      <c r="H379" s="230">
        <v>-1209.324144169139</v>
      </c>
      <c r="I379" s="230">
        <v>8131.922763198563</v>
      </c>
      <c r="J379" s="170">
        <v>88403.5830000001</v>
      </c>
    </row>
    <row r="380">
      <c r="A380" s="229">
        <v>43243.0</v>
      </c>
      <c r="B380" s="21">
        <v>-0.04136320709141646</v>
      </c>
      <c r="C380" s="21">
        <v>0.03092689157272523</v>
      </c>
      <c r="D380" s="21">
        <v>-0.010436315518691227</v>
      </c>
      <c r="E380" s="21">
        <v>0.015396839597304698</v>
      </c>
      <c r="F380" s="232">
        <v>3401.4303565922532</v>
      </c>
      <c r="G380" s="171">
        <v>29.70149356503751</v>
      </c>
      <c r="H380" s="230">
        <v>-2305.5640861820343</v>
      </c>
      <c r="I380" s="230">
        <v>8102.760533696493</v>
      </c>
      <c r="J380" s="170">
        <v>87678.9940000001</v>
      </c>
    </row>
    <row r="381">
      <c r="A381" s="229">
        <v>43242.0</v>
      </c>
      <c r="B381" s="21">
        <v>-0.05679298267548657</v>
      </c>
      <c r="C381" s="21">
        <v>0.030959827559490644</v>
      </c>
      <c r="D381" s="21">
        <v>-0.025833155115995925</v>
      </c>
      <c r="E381" s="21">
        <v>-0.001442014369251423</v>
      </c>
      <c r="F381" s="232">
        <v>-318.56611996351876</v>
      </c>
      <c r="G381" s="171">
        <v>8.484273076784145</v>
      </c>
      <c r="H381" s="230">
        <v>-5706.994442774288</v>
      </c>
      <c r="I381" s="230">
        <v>8073.059040131456</v>
      </c>
      <c r="J381" s="170">
        <v>85574.96500000011</v>
      </c>
    </row>
    <row r="382">
      <c r="A382" s="229">
        <v>43241.0</v>
      </c>
      <c r="B382" s="21">
        <v>-0.055383974518985135</v>
      </c>
      <c r="C382" s="21">
        <v>0.030992833772240633</v>
      </c>
      <c r="D382" s="21">
        <v>-0.0243911407467445</v>
      </c>
      <c r="E382" s="21">
        <v>0.008095149675338167</v>
      </c>
      <c r="F382" s="232">
        <v>2056.6857437106264</v>
      </c>
      <c r="G382" s="171">
        <v>38.35110112386801</v>
      </c>
      <c r="H382" s="230">
        <v>-5388.428322810769</v>
      </c>
      <c r="I382" s="230">
        <v>8064.574767054672</v>
      </c>
      <c r="J382" s="170">
        <v>85527.22500000012</v>
      </c>
    </row>
    <row r="383">
      <c r="A383" s="229">
        <v>43238.0</v>
      </c>
      <c r="B383" s="21">
        <v>-0.062075197856825234</v>
      </c>
      <c r="C383" s="21">
        <v>0.02837430880475277</v>
      </c>
      <c r="D383" s="21">
        <v>-0.03370088905207247</v>
      </c>
      <c r="E383" s="21">
        <v>0.005740038232732378</v>
      </c>
      <c r="F383" s="232">
        <v>1268.0745401955028</v>
      </c>
      <c r="G383" s="171">
        <v>51.83901947621597</v>
      </c>
      <c r="H383" s="230">
        <v>-7445.114066521395</v>
      </c>
      <c r="I383" s="230">
        <v>8026.223665930804</v>
      </c>
      <c r="J383" s="170">
        <v>85099.24000000014</v>
      </c>
    </row>
    <row r="384">
      <c r="A384" s="229">
        <v>43237.0</v>
      </c>
      <c r="B384" s="21">
        <v>-0.06784561543517298</v>
      </c>
      <c r="C384" s="21">
        <v>0.028404688150368135</v>
      </c>
      <c r="D384" s="21">
        <v>-0.03944092728480485</v>
      </c>
      <c r="E384" s="21">
        <v>-0.004301362194410484</v>
      </c>
      <c r="F384" s="232">
        <v>-950.2459157480143</v>
      </c>
      <c r="G384" s="171">
        <v>16.54008357853479</v>
      </c>
      <c r="H384" s="230">
        <v>-8713.188606716898</v>
      </c>
      <c r="I384" s="230">
        <v>7974.384646454588</v>
      </c>
      <c r="J384" s="170">
        <v>84375.67900000012</v>
      </c>
    </row>
    <row r="385">
      <c r="A385" s="229">
        <v>43236.0</v>
      </c>
      <c r="B385" s="21">
        <v>-0.06357469770823342</v>
      </c>
      <c r="C385" s="21">
        <v>0.028435132617839053</v>
      </c>
      <c r="D385" s="21">
        <v>-0.03513956509039436</v>
      </c>
      <c r="E385" s="21">
        <v>0.0072910420399697265</v>
      </c>
      <c r="F385" s="232">
        <v>1610.7183275640991</v>
      </c>
      <c r="G385" s="171">
        <v>24.6696284593711</v>
      </c>
      <c r="H385" s="230">
        <v>-7762.942690968884</v>
      </c>
      <c r="I385" s="230">
        <v>7957.844562876053</v>
      </c>
      <c r="J385" s="170">
        <v>84877.2710000001</v>
      </c>
    </row>
    <row r="386">
      <c r="A386" s="229">
        <v>43235.0</v>
      </c>
      <c r="B386" s="21">
        <v>-0.07089624954714932</v>
      </c>
      <c r="C386" s="21">
        <v>0.028465642416785234</v>
      </c>
      <c r="D386" s="21">
        <v>-0.04243060713036409</v>
      </c>
      <c r="E386" s="21">
        <v>-0.0010718629265307478</v>
      </c>
      <c r="F386" s="232">
        <v>-236.79321157867525</v>
      </c>
      <c r="G386" s="171">
        <v>7.371815681400181</v>
      </c>
      <c r="H386" s="230">
        <v>-9373.661018532983</v>
      </c>
      <c r="I386" s="230">
        <v>7933.174934416682</v>
      </c>
      <c r="J386" s="170">
        <v>83672.4830000001</v>
      </c>
    </row>
    <row r="387">
      <c r="A387" s="229">
        <v>43234.0</v>
      </c>
      <c r="B387" s="21">
        <v>-0.06985496196156034</v>
      </c>
      <c r="C387" s="21">
        <v>0.028496217757727</v>
      </c>
      <c r="D387" s="21">
        <v>-0.04135874420383334</v>
      </c>
      <c r="E387" s="21">
        <v>-0.003935660790469628</v>
      </c>
      <c r="F387" s="232">
        <v>-920.4013613107709</v>
      </c>
      <c r="G387" s="171">
        <v>49.82719632606491</v>
      </c>
      <c r="H387" s="230">
        <v>-9136.867806954308</v>
      </c>
      <c r="I387" s="230">
        <v>7925.803118735282</v>
      </c>
      <c r="J387" s="170">
        <v>83987.55500000011</v>
      </c>
    </row>
    <row r="388">
      <c r="A388" s="229">
        <v>43231.0</v>
      </c>
      <c r="B388" s="21">
        <v>-0.06578081486233868</v>
      </c>
      <c r="C388" s="21">
        <v>0.02858833915134034</v>
      </c>
      <c r="D388" s="21">
        <v>-0.03719247571099834</v>
      </c>
      <c r="E388" s="21">
        <v>-0.01603016036147936</v>
      </c>
      <c r="F388" s="232">
        <v>-3541.341957223658</v>
      </c>
      <c r="G388" s="171">
        <v>10.194541818010123</v>
      </c>
      <c r="H388" s="230">
        <v>-8216.466445643537</v>
      </c>
      <c r="I388" s="230">
        <v>7875.975922409217</v>
      </c>
      <c r="J388" s="170">
        <v>84694.59000000011</v>
      </c>
    </row>
    <row r="389">
      <c r="A389" s="229">
        <v>43230.0</v>
      </c>
      <c r="B389" s="21">
        <v>-0.03688746229525589</v>
      </c>
      <c r="C389" s="21">
        <v>0.01572514694573691</v>
      </c>
      <c r="D389" s="21">
        <v>-0.02116231534951898</v>
      </c>
      <c r="E389" s="21">
        <v>0.0018742026661245567</v>
      </c>
      <c r="F389" s="232">
        <v>414.0440512271216</v>
      </c>
      <c r="G389" s="171">
        <v>6.637452917740586</v>
      </c>
      <c r="H389" s="230">
        <v>-4675.124488419879</v>
      </c>
      <c r="I389" s="230">
        <v>7865.7813805912065</v>
      </c>
      <c r="J389" s="170">
        <v>84651.15300000011</v>
      </c>
    </row>
    <row r="390">
      <c r="A390" s="229">
        <v>43229.0</v>
      </c>
      <c r="B390" s="21">
        <v>-0.03877864676153783</v>
      </c>
      <c r="C390" s="21">
        <v>0.015742128745894295</v>
      </c>
      <c r="D390" s="21">
        <v>-0.023036518015643537</v>
      </c>
      <c r="E390" s="21">
        <v>0.003010019029704429</v>
      </c>
      <c r="F390" s="232">
        <v>190.21534113536836</v>
      </c>
      <c r="G390" s="171">
        <v>38.689676635670565</v>
      </c>
      <c r="H390" s="230">
        <v>-5089.168539647</v>
      </c>
      <c r="I390" s="230">
        <v>7859.143927673465</v>
      </c>
      <c r="J390" s="170">
        <v>84156.47500000012</v>
      </c>
    </row>
    <row r="391">
      <c r="A391" s="229">
        <v>43228.0</v>
      </c>
      <c r="B391" s="21">
        <v>-0.039656689845055035</v>
      </c>
      <c r="C391" s="21">
        <v>0.015759147263457424</v>
      </c>
      <c r="D391" s="21">
        <v>-0.02389754258159761</v>
      </c>
      <c r="E391" s="21">
        <v>-0.004095634880180589</v>
      </c>
      <c r="F391" s="232">
        <v>678.7006971820529</v>
      </c>
      <c r="G391" s="171">
        <v>56.114011017318276</v>
      </c>
      <c r="H391" s="230">
        <v>-5279.383880782369</v>
      </c>
      <c r="I391" s="230">
        <v>7820.454251037795</v>
      </c>
      <c r="J391" s="170">
        <v>83665.75000000012</v>
      </c>
    </row>
    <row r="392">
      <c r="A392" s="229">
        <v>43227.0</v>
      </c>
      <c r="B392" s="21">
        <v>-0.03768131265007968</v>
      </c>
      <c r="C392" s="21">
        <v>0.010711578468604602</v>
      </c>
      <c r="D392" s="21">
        <v>-0.026969734181475077</v>
      </c>
      <c r="E392" s="21">
        <v>0.00616617554797735</v>
      </c>
      <c r="F392" s="232">
        <v>1362.2157041006394</v>
      </c>
      <c r="G392" s="171">
        <v>9.82050408741025</v>
      </c>
      <c r="H392" s="230">
        <v>-5958.084577964421</v>
      </c>
      <c r="I392" s="230">
        <v>7764.340240020477</v>
      </c>
      <c r="J392" s="170">
        <v>83401.39100000009</v>
      </c>
    </row>
    <row r="393">
      <c r="A393" s="229">
        <v>43224.0</v>
      </c>
      <c r="B393" s="21">
        <v>-0.04381269846359937</v>
      </c>
      <c r="C393" s="21">
        <v>0.010676788734146942</v>
      </c>
      <c r="D393" s="21">
        <v>-0.03313590972945243</v>
      </c>
      <c r="E393" s="21">
        <v>-0.0011380321192998658</v>
      </c>
      <c r="F393" s="232">
        <v>-251.41114011743048</v>
      </c>
      <c r="G393" s="171">
        <v>51.913708578509834</v>
      </c>
      <c r="H393" s="230">
        <v>-7320.300282065061</v>
      </c>
      <c r="I393" s="230">
        <v>7754.519735933067</v>
      </c>
      <c r="J393" s="170">
        <v>82218.83900000007</v>
      </c>
    </row>
    <row r="394">
      <c r="A394" s="229">
        <v>43223.0</v>
      </c>
      <c r="B394" s="21">
        <v>-0.042686284177524916</v>
      </c>
      <c r="C394" s="21">
        <v>0.010688406567372351</v>
      </c>
      <c r="D394" s="21">
        <v>-0.03199787761015256</v>
      </c>
      <c r="E394" s="21">
        <v>-9.234456848038197E-4</v>
      </c>
      <c r="F394" s="232">
        <v>-204.00525478655345</v>
      </c>
      <c r="G394" s="171">
        <v>40.792346104426</v>
      </c>
      <c r="H394" s="230">
        <v>-7068.88914194763</v>
      </c>
      <c r="I394" s="230">
        <v>7702.606027354557</v>
      </c>
      <c r="J394" s="170">
        <v>82470.2501401175</v>
      </c>
    </row>
    <row r="395">
      <c r="A395" s="229">
        <v>43222.0</v>
      </c>
      <c r="B395" s="21">
        <v>-0.04175625240569324</v>
      </c>
      <c r="C395" s="21">
        <v>0.010681820480344497</v>
      </c>
      <c r="D395" s="21">
        <v>-0.03107443192534874</v>
      </c>
      <c r="E395" s="21">
        <v>0.004173806754209558</v>
      </c>
      <c r="F395" s="232">
        <v>922.0666947003474</v>
      </c>
      <c r="G395" s="171">
        <v>39.65371823567616</v>
      </c>
      <c r="H395" s="230">
        <v>-6864.883887161077</v>
      </c>
      <c r="I395" s="230">
        <v>7661.813681250132</v>
      </c>
      <c r="J395" s="170">
        <v>82674.25539490404</v>
      </c>
    </row>
    <row r="396">
      <c r="A396" s="229">
        <v>43220.0</v>
      </c>
      <c r="B396" s="21">
        <v>-0.0459417078190962</v>
      </c>
      <c r="C396" s="21">
        <v>0.010693469139537896</v>
      </c>
      <c r="D396" s="21">
        <v>-0.0352482386795583</v>
      </c>
      <c r="E396" s="21">
        <v>0.0026581810843352913</v>
      </c>
      <c r="F396" s="232">
        <v>639.9104267426837</v>
      </c>
      <c r="G396" s="171">
        <v>60.405100969480735</v>
      </c>
      <c r="H396" s="230">
        <v>-7786.950581861424</v>
      </c>
      <c r="I396" s="230">
        <v>7622.159963014456</v>
      </c>
      <c r="J396" s="170">
        <v>81752.1887002037</v>
      </c>
    </row>
    <row r="397">
      <c r="A397" s="229">
        <v>43217.0</v>
      </c>
      <c r="B397" s="21">
        <v>-0.048873411150760916</v>
      </c>
      <c r="C397" s="21">
        <v>0.010728568053562626</v>
      </c>
      <c r="D397" s="21">
        <v>-0.03814484309719829</v>
      </c>
      <c r="E397" s="21">
        <v>0.013756262455032968</v>
      </c>
      <c r="F397" s="232">
        <v>3038.9982575378926</v>
      </c>
      <c r="G397" s="171">
        <v>14.762362916746513</v>
      </c>
      <c r="H397" s="230">
        <v>-8426.861008604108</v>
      </c>
      <c r="I397" s="230">
        <v>7561.754862044975</v>
      </c>
      <c r="J397" s="170">
        <v>81112.27827346101</v>
      </c>
    </row>
    <row r="398">
      <c r="A398" s="229">
        <v>43216.0</v>
      </c>
      <c r="B398" s="21">
        <v>-0.06264142450179998</v>
      </c>
      <c r="C398" s="21">
        <v>0.010740318949568721</v>
      </c>
      <c r="D398" s="21">
        <v>-0.05190110555223126</v>
      </c>
      <c r="E398" s="21">
        <v>0.002770702320029385</v>
      </c>
      <c r="F398" s="232">
        <v>612.0964579041483</v>
      </c>
      <c r="G398" s="171">
        <v>18.05729091873741</v>
      </c>
      <c r="H398" s="230">
        <v>-11465.859266142</v>
      </c>
      <c r="I398" s="230">
        <v>7546.992499128229</v>
      </c>
      <c r="J398" s="170">
        <v>78073.28001592311</v>
      </c>
    </row>
    <row r="399">
      <c r="A399" s="229">
        <v>43215.0</v>
      </c>
      <c r="B399" s="21">
        <v>-0.06542390348734424</v>
      </c>
      <c r="C399" s="21">
        <v>0.0107520956150836</v>
      </c>
      <c r="D399" s="21">
        <v>-0.05467180787226064</v>
      </c>
      <c r="E399" s="21">
        <v>-0.009690614141258581</v>
      </c>
      <c r="F399" s="232">
        <v>-2140.825648392758</v>
      </c>
      <c r="G399" s="171">
        <v>59.348512372041945</v>
      </c>
      <c r="H399" s="230">
        <v>-12077.955724046149</v>
      </c>
      <c r="I399" s="230">
        <v>7528.935208209491</v>
      </c>
      <c r="J399" s="170">
        <v>77461.18355801897</v>
      </c>
    </row>
    <row r="400">
      <c r="A400" s="229">
        <v>43214.0</v>
      </c>
      <c r="B400" s="21">
        <v>-0.05574509186597049</v>
      </c>
      <c r="C400" s="21">
        <v>0.010763898134968433</v>
      </c>
      <c r="D400" s="21">
        <v>-0.04498119373100206</v>
      </c>
      <c r="E400" s="21">
        <v>0.002642840206775028</v>
      </c>
      <c r="F400" s="232">
        <v>583.8494874312237</v>
      </c>
      <c r="G400" s="171">
        <v>57.59145195743054</v>
      </c>
      <c r="H400" s="230">
        <v>-9937.130075653391</v>
      </c>
      <c r="I400" s="230">
        <v>7469.586695837449</v>
      </c>
      <c r="J400" s="170">
        <v>79602.00920641172</v>
      </c>
    </row>
    <row r="401">
      <c r="A401" s="229">
        <v>43213.0</v>
      </c>
      <c r="B401" s="21">
        <v>-0.0583997605322345</v>
      </c>
      <c r="C401" s="21">
        <v>0.010775726594457411</v>
      </c>
      <c r="D401" s="21">
        <v>-0.04762403393777709</v>
      </c>
      <c r="E401" s="21">
        <v>0.00458829519813897</v>
      </c>
      <c r="F401" s="232">
        <v>-215.84642822774367</v>
      </c>
      <c r="G401" s="171">
        <v>54.09915608891186</v>
      </c>
      <c r="H401" s="230">
        <v>-10520.979563084615</v>
      </c>
      <c r="I401" s="230">
        <v>7411.995243880018</v>
      </c>
      <c r="J401" s="170">
        <v>79018.15971898049</v>
      </c>
    </row>
    <row r="402">
      <c r="A402" s="229">
        <v>43210.0</v>
      </c>
      <c r="B402" s="21">
        <v>-0.0574583567270873</v>
      </c>
      <c r="C402" s="21">
        <v>0.010811368468529486</v>
      </c>
      <c r="D402" s="21">
        <v>-0.046646988258557814</v>
      </c>
      <c r="E402" s="21">
        <v>-0.002219940578710583</v>
      </c>
      <c r="F402" s="232">
        <v>-490.4235850829409</v>
      </c>
      <c r="G402" s="171">
        <v>56.527190245313136</v>
      </c>
      <c r="H402" s="230">
        <v>-10305.133134856871</v>
      </c>
      <c r="I402" s="230">
        <v>7357.896087791107</v>
      </c>
      <c r="J402" s="170">
        <v>79234.00614720823</v>
      </c>
    </row>
    <row r="403">
      <c r="A403" s="229">
        <v>43209.0</v>
      </c>
      <c r="B403" s="21">
        <v>-0.05525034922615655</v>
      </c>
      <c r="C403" s="21">
        <v>0.010823301546309321</v>
      </c>
      <c r="D403" s="21">
        <v>-0.04442704767984723</v>
      </c>
      <c r="E403" s="21">
        <v>-0.0022512844180714447</v>
      </c>
      <c r="F403" s="232">
        <v>-497.34798577052425</v>
      </c>
      <c r="G403" s="171">
        <v>46.12115334906652</v>
      </c>
      <c r="H403" s="230">
        <v>-9814.70954977393</v>
      </c>
      <c r="I403" s="230">
        <v>7301.3688975457935</v>
      </c>
      <c r="J403" s="170">
        <v>79724.42973229117</v>
      </c>
    </row>
    <row r="404">
      <c r="A404" s="229">
        <v>43208.0</v>
      </c>
      <c r="B404" s="21">
        <v>-0.05301102425730755</v>
      </c>
      <c r="C404" s="21">
        <v>0.01083526099553176</v>
      </c>
      <c r="D404" s="21">
        <v>-0.04217576326177579</v>
      </c>
      <c r="E404" s="21">
        <v>0.005552964896219509</v>
      </c>
      <c r="F404" s="232">
        <v>1226.7467779815433</v>
      </c>
      <c r="G404" s="171">
        <v>36.85211402412775</v>
      </c>
      <c r="H404" s="230">
        <v>-9317.361564003406</v>
      </c>
      <c r="I404" s="230">
        <v>7255.247744196727</v>
      </c>
      <c r="J404" s="170">
        <v>80221.7777180617</v>
      </c>
    </row>
    <row r="405">
      <c r="A405" s="229">
        <v>43207.0</v>
      </c>
      <c r="B405" s="21">
        <v>-0.058575975061707954</v>
      </c>
      <c r="C405" s="21">
        <v>0.010847246903712658</v>
      </c>
      <c r="D405" s="21">
        <v>-0.047728728157995295</v>
      </c>
      <c r="E405" s="21">
        <v>0.001778651566986228</v>
      </c>
      <c r="F405" s="232">
        <v>392.93514721075735</v>
      </c>
      <c r="G405" s="171">
        <v>51.31999874031511</v>
      </c>
      <c r="H405" s="230">
        <v>-10544.10834198495</v>
      </c>
      <c r="I405" s="230">
        <v>7218.395630172599</v>
      </c>
      <c r="J405" s="170">
        <v>78995.03094008015</v>
      </c>
    </row>
    <row r="406">
      <c r="A406" s="229">
        <v>43206.0</v>
      </c>
      <c r="B406" s="21">
        <v>-0.06036663908373706</v>
      </c>
      <c r="C406" s="21">
        <v>0.010859259358755535</v>
      </c>
      <c r="D406" s="21">
        <v>-0.04950737972498152</v>
      </c>
      <c r="E406" s="21">
        <v>-5.643615722858916E-4</v>
      </c>
      <c r="F406" s="232">
        <v>-93.69472865026546</v>
      </c>
      <c r="G406" s="171">
        <v>32.24273430198221</v>
      </c>
      <c r="H406" s="230">
        <v>-10937.043489195707</v>
      </c>
      <c r="I406" s="230">
        <v>7167.075631432284</v>
      </c>
      <c r="J406" s="170">
        <v>78602.0957928694</v>
      </c>
    </row>
    <row r="407">
      <c r="A407" s="229">
        <v>43203.0</v>
      </c>
      <c r="B407" s="21">
        <v>-0.05997872012366175</v>
      </c>
      <c r="C407" s="21">
        <v>0.010895456889951383</v>
      </c>
      <c r="D407" s="21">
        <v>-0.049083263233710366</v>
      </c>
      <c r="E407" s="21">
        <v>7.07404290298197E-4</v>
      </c>
      <c r="F407" s="232">
        <v>156.27794341801928</v>
      </c>
      <c r="G407" s="171">
        <v>30.46301372475719</v>
      </c>
      <c r="H407" s="230">
        <v>-10843.348760545441</v>
      </c>
      <c r="I407" s="230">
        <v>7134.832897130302</v>
      </c>
      <c r="J407" s="170">
        <v>78695.79052151967</v>
      </c>
    </row>
    <row r="408">
      <c r="A408" s="229">
        <v>43202.0</v>
      </c>
      <c r="B408" s="21">
        <v>-0.06069824394331473</v>
      </c>
      <c r="C408" s="21">
        <v>0.010907576419306168</v>
      </c>
      <c r="D408" s="21">
        <v>-0.04979066752400856</v>
      </c>
      <c r="E408" s="21">
        <v>0.005466839565853761</v>
      </c>
      <c r="F408" s="232">
        <v>1207.7201906532664</v>
      </c>
      <c r="G408" s="171">
        <v>34.6466328320844</v>
      </c>
      <c r="H408" s="230">
        <v>-10999.62670396346</v>
      </c>
      <c r="I408" s="230">
        <v>7104.369883405545</v>
      </c>
      <c r="J408" s="170">
        <v>78539.51257810165</v>
      </c>
    </row>
    <row r="409">
      <c r="A409" s="229">
        <v>43201.0</v>
      </c>
      <c r="B409" s="21">
        <v>-0.06617723003079355</v>
      </c>
      <c r="C409" s="21">
        <v>0.01091972294093123</v>
      </c>
      <c r="D409" s="21">
        <v>-0.05525750708986232</v>
      </c>
      <c r="E409" s="21">
        <v>-0.007313774061391165</v>
      </c>
      <c r="F409" s="232">
        <v>-1615.740227496286</v>
      </c>
      <c r="G409" s="171">
        <v>65.8330453438901</v>
      </c>
      <c r="H409" s="230">
        <v>-12207.346894616727</v>
      </c>
      <c r="I409" s="230">
        <v>7069.72325057346</v>
      </c>
      <c r="J409" s="170">
        <v>77331.79238744838</v>
      </c>
    </row>
    <row r="410">
      <c r="A410" s="229">
        <v>43200.0</v>
      </c>
      <c r="B410" s="21">
        <v>-0.06146635721205336</v>
      </c>
      <c r="C410" s="21">
        <v>0.013522624183582204</v>
      </c>
      <c r="D410" s="21">
        <v>-0.04794373302847116</v>
      </c>
      <c r="E410" s="21">
        <v>0.0037285185797773512</v>
      </c>
      <c r="F410" s="232">
        <v>823.6947720487406</v>
      </c>
      <c r="G410" s="171">
        <v>9.821736165485673</v>
      </c>
      <c r="H410" s="230">
        <v>-10591.60666712044</v>
      </c>
      <c r="I410" s="230">
        <v>7003.89020522957</v>
      </c>
      <c r="J410" s="170">
        <v>78947.53261494466</v>
      </c>
    </row>
    <row r="411">
      <c r="A411" s="229">
        <v>43199.0</v>
      </c>
      <c r="B411" s="21">
        <v>-0.06334443924010465</v>
      </c>
      <c r="C411" s="21">
        <v>0.011672187631856136</v>
      </c>
      <c r="D411" s="21">
        <v>-0.05167225160824851</v>
      </c>
      <c r="E411" s="21">
        <v>3.3133158569147864E-4</v>
      </c>
      <c r="F411" s="232">
        <v>163.16088542287798</v>
      </c>
      <c r="G411" s="171">
        <v>66.38617879800216</v>
      </c>
      <c r="H411" s="230">
        <v>-11415.301439169181</v>
      </c>
      <c r="I411" s="230">
        <v>6994.068469064084</v>
      </c>
      <c r="J411" s="170">
        <v>78123.83784289593</v>
      </c>
    </row>
    <row r="412">
      <c r="A412" s="229">
        <v>43196.0</v>
      </c>
      <c r="B412" s="21">
        <v>-0.0641222119802841</v>
      </c>
      <c r="C412" s="21">
        <v>0.011711399908334934</v>
      </c>
      <c r="D412" s="21">
        <v>-0.05241081207194917</v>
      </c>
      <c r="E412" s="21">
        <v>-0.002962500774738877</v>
      </c>
      <c r="F412" s="232">
        <v>-654.4680811241851</v>
      </c>
      <c r="G412" s="171">
        <v>66.41522885858275</v>
      </c>
      <c r="H412" s="230">
        <v>-11578.46232459206</v>
      </c>
      <c r="I412" s="230">
        <v>6927.6822902660815</v>
      </c>
      <c r="J412" s="170">
        <v>77960.67695747304</v>
      </c>
    </row>
    <row r="413">
      <c r="A413" s="229">
        <v>43195.0</v>
      </c>
      <c r="B413" s="21">
        <v>-0.06117284057763977</v>
      </c>
      <c r="C413" s="21">
        <v>0.011724529280429477</v>
      </c>
      <c r="D413" s="21">
        <v>-0.04944831129721029</v>
      </c>
      <c r="E413" s="21">
        <v>0.012756004447571148</v>
      </c>
      <c r="F413" s="232">
        <v>2818.0238212256063</v>
      </c>
      <c r="G413" s="171">
        <v>28.8470848442282</v>
      </c>
      <c r="H413" s="230">
        <v>-10923.994243467874</v>
      </c>
      <c r="I413" s="230">
        <v>6861.267061407499</v>
      </c>
      <c r="J413" s="170">
        <v>78615.14503859723</v>
      </c>
    </row>
    <row r="414">
      <c r="A414" s="229">
        <v>43194.0</v>
      </c>
      <c r="B414" s="21">
        <v>-0.07394200386839883</v>
      </c>
      <c r="C414" s="21">
        <v>0.011737688123617388</v>
      </c>
      <c r="D414" s="21">
        <v>-0.06220431574478144</v>
      </c>
      <c r="E414" s="21">
        <v>-0.004234194547415075</v>
      </c>
      <c r="F414" s="232">
        <v>-935.4074112596609</v>
      </c>
      <c r="G414" s="171">
        <v>34.1589961937732</v>
      </c>
      <c r="H414" s="230">
        <v>-13742.01806469348</v>
      </c>
      <c r="I414" s="230">
        <v>6832.41997656327</v>
      </c>
      <c r="J414" s="170">
        <v>75797.12121737162</v>
      </c>
    </row>
    <row r="415">
      <c r="A415" s="229">
        <v>43193.0</v>
      </c>
      <c r="B415" s="21">
        <v>-0.06955834169382187</v>
      </c>
      <c r="C415" s="21">
        <v>0.011588220496455505</v>
      </c>
      <c r="D415" s="21">
        <v>-0.057970121197366366</v>
      </c>
      <c r="E415" s="21">
        <v>-0.005111252532634045</v>
      </c>
      <c r="F415" s="232">
        <v>-77.92668572079674</v>
      </c>
      <c r="G415" s="171">
        <v>32.19069799824438</v>
      </c>
      <c r="H415" s="230">
        <v>-12806.61065343382</v>
      </c>
      <c r="I415" s="230">
        <v>6798.260980369497</v>
      </c>
      <c r="J415" s="170">
        <v>76732.52862863128</v>
      </c>
    </row>
    <row r="416">
      <c r="A416" s="229">
        <v>43188.0</v>
      </c>
      <c r="B416" s="21">
        <v>-0.0692518571887199</v>
      </c>
      <c r="C416" s="21">
        <v>0.011634477207432613</v>
      </c>
      <c r="D416" s="21">
        <v>-0.057617379981287284</v>
      </c>
      <c r="E416" s="21">
        <v>0.008140658977033949</v>
      </c>
      <c r="F416" s="232">
        <v>1798.4135245518682</v>
      </c>
      <c r="G416" s="171">
        <v>46.91488643567398</v>
      </c>
      <c r="H416" s="230">
        <v>-12728.683967713023</v>
      </c>
      <c r="I416" s="230">
        <v>6766.070282371253</v>
      </c>
      <c r="J416" s="170">
        <v>76810.45531435208</v>
      </c>
    </row>
    <row r="417">
      <c r="A417" s="229">
        <v>43187.0</v>
      </c>
      <c r="B417" s="21">
        <v>-0.07740567733906542</v>
      </c>
      <c r="C417" s="21">
        <v>0.011647638380744188</v>
      </c>
      <c r="D417" s="21">
        <v>-0.06575803895832123</v>
      </c>
      <c r="E417" s="21">
        <v>-3.8437196722064526E-4</v>
      </c>
      <c r="F417" s="232">
        <v>-84.91447022389184</v>
      </c>
      <c r="G417" s="171">
        <v>59.67011334335534</v>
      </c>
      <c r="H417" s="230">
        <v>-14527.097492264891</v>
      </c>
      <c r="I417" s="230">
        <v>6719.155395935579</v>
      </c>
      <c r="J417" s="170">
        <v>75012.0417898002</v>
      </c>
    </row>
    <row r="418">
      <c r="A418" s="229">
        <v>43186.0</v>
      </c>
      <c r="B418" s="21">
        <v>-0.07704771725025916</v>
      </c>
      <c r="C418" s="21">
        <v>0.011674050259158575</v>
      </c>
      <c r="D418" s="21">
        <v>-0.06537366699110059</v>
      </c>
      <c r="E418" s="21">
        <v>-0.0038237133759284198</v>
      </c>
      <c r="F418" s="232">
        <v>-844.7249625220211</v>
      </c>
      <c r="G418" s="171">
        <v>51.744426469330385</v>
      </c>
      <c r="H418" s="230">
        <v>-14442.183022041</v>
      </c>
      <c r="I418" s="230">
        <v>6659.4852825922235</v>
      </c>
      <c r="J418" s="170">
        <v>75096.9562600241</v>
      </c>
    </row>
    <row r="419">
      <c r="A419" s="229">
        <v>43185.0</v>
      </c>
      <c r="B419" s="21">
        <v>-0.07325053580673792</v>
      </c>
      <c r="C419" s="21">
        <v>0.011700582191565754</v>
      </c>
      <c r="D419" s="21">
        <v>-0.06154995361517217</v>
      </c>
      <c r="E419" s="21">
        <v>-0.001886354987927219</v>
      </c>
      <c r="F419" s="232">
        <v>-416.72871102508907</v>
      </c>
      <c r="G419" s="171">
        <v>43.87796429114992</v>
      </c>
      <c r="H419" s="230">
        <v>-13597.458059518978</v>
      </c>
      <c r="I419" s="230">
        <v>6607.740856122893</v>
      </c>
      <c r="J419" s="170">
        <v>75941.68122254612</v>
      </c>
    </row>
    <row r="420">
      <c r="A420" s="229">
        <v>43182.0</v>
      </c>
      <c r="B420" s="21">
        <v>-0.07180009850816664</v>
      </c>
      <c r="C420" s="21">
        <v>0.012136499880921688</v>
      </c>
      <c r="D420" s="21">
        <v>-0.05966359862724495</v>
      </c>
      <c r="E420" s="21">
        <v>-0.0020913648418720773</v>
      </c>
      <c r="F420" s="232">
        <v>-462.01896271613623</v>
      </c>
      <c r="G420" s="171">
        <v>12.495930562324629</v>
      </c>
      <c r="H420" s="230">
        <v>-13180.72934849389</v>
      </c>
      <c r="I420" s="230">
        <v>6563.862891831744</v>
      </c>
      <c r="J420" s="170">
        <v>76358.40993357121</v>
      </c>
    </row>
    <row r="421">
      <c r="A421" s="229">
        <v>43181.0</v>
      </c>
      <c r="B421" s="21">
        <v>-0.06591486064230934</v>
      </c>
      <c r="C421" s="21">
        <v>0.008342626856936467</v>
      </c>
      <c r="D421" s="21">
        <v>-0.05757223378537287</v>
      </c>
      <c r="E421" s="21">
        <v>-0.0056106281447615425</v>
      </c>
      <c r="F421" s="232">
        <v>-1239.48559511418</v>
      </c>
      <c r="G421" s="171">
        <v>33.41059937187721</v>
      </c>
      <c r="H421" s="230">
        <v>-12718.710385777753</v>
      </c>
      <c r="I421" s="230">
        <v>6551.366961269419</v>
      </c>
      <c r="J421" s="170">
        <v>76820.42889628734</v>
      </c>
    </row>
    <row r="422">
      <c r="A422" s="229">
        <v>43180.0</v>
      </c>
      <c r="B422" s="21">
        <v>-0.060313745184955934</v>
      </c>
      <c r="C422" s="21">
        <v>0.008352139544344606</v>
      </c>
      <c r="D422" s="21">
        <v>-0.05196160564061133</v>
      </c>
      <c r="E422" s="21">
        <v>5.749561716450954E-4</v>
      </c>
      <c r="F422" s="232">
        <v>127.01784438191135</v>
      </c>
      <c r="G422" s="171">
        <v>30.15746182293546</v>
      </c>
      <c r="H422" s="230">
        <v>-11479.224790663573</v>
      </c>
      <c r="I422" s="230">
        <v>6517.956361897542</v>
      </c>
      <c r="J422" s="170">
        <v>78059.91449140152</v>
      </c>
    </row>
    <row r="423">
      <c r="A423" s="229">
        <v>43179.0</v>
      </c>
      <c r="B423" s="21">
        <v>-0.06089823576247357</v>
      </c>
      <c r="C423" s="21">
        <v>0.008361673950217145</v>
      </c>
      <c r="D423" s="21">
        <v>-0.052536561812256424</v>
      </c>
      <c r="E423" s="21">
        <v>-0.005905204113598954</v>
      </c>
      <c r="F423" s="232">
        <v>-1304.5625634357548</v>
      </c>
      <c r="G423" s="171">
        <v>18.398634705334754</v>
      </c>
      <c r="H423" s="230">
        <v>-11606.242635045484</v>
      </c>
      <c r="I423" s="230">
        <v>6487.7989000746065</v>
      </c>
      <c r="J423" s="170">
        <v>77932.8966470196</v>
      </c>
    </row>
    <row r="424">
      <c r="A424" s="229">
        <v>43178.0</v>
      </c>
      <c r="B424" s="21">
        <v>-0.055002587847674866</v>
      </c>
      <c r="C424" s="21">
        <v>0.008371230149017396</v>
      </c>
      <c r="D424" s="21">
        <v>-0.04663135769865747</v>
      </c>
      <c r="E424" s="21">
        <v>-0.0031699405960622443</v>
      </c>
      <c r="F424" s="232">
        <v>-847.635253498458</v>
      </c>
      <c r="G424" s="171">
        <v>62.446470027568346</v>
      </c>
      <c r="H424" s="230">
        <v>-10301.68007160973</v>
      </c>
      <c r="I424" s="230">
        <v>6469.400265369271</v>
      </c>
      <c r="J424" s="170">
        <v>79237.45921045536</v>
      </c>
    </row>
    <row r="425">
      <c r="A425" s="229">
        <v>43175.0</v>
      </c>
      <c r="B425" s="21">
        <v>-0.05119450091655371</v>
      </c>
      <c r="C425" s="21">
        <v>0.008400030252741079</v>
      </c>
      <c r="D425" s="21">
        <v>-0.04279447066381263</v>
      </c>
      <c r="E425" s="21">
        <v>0.0030032778762239046</v>
      </c>
      <c r="F425" s="232">
        <v>663.4764539118896</v>
      </c>
      <c r="G425" s="171">
        <v>24.550128378205407</v>
      </c>
      <c r="H425" s="230">
        <v>-9454.044818111272</v>
      </c>
      <c r="I425" s="230">
        <v>6406.953795341703</v>
      </c>
      <c r="J425" s="170">
        <v>80085.09446395382</v>
      </c>
    </row>
    <row r="426">
      <c r="A426" s="229">
        <v>43174.0</v>
      </c>
      <c r="B426" s="21">
        <v>-0.05420742291476698</v>
      </c>
      <c r="C426" s="21">
        <v>0.008409674374730449</v>
      </c>
      <c r="D426" s="21">
        <v>-0.045797748540036536</v>
      </c>
      <c r="E426" s="21">
        <v>8.827370097351864E-4</v>
      </c>
      <c r="F426" s="232">
        <v>195.01199858744803</v>
      </c>
      <c r="G426" s="171">
        <v>54.793871243768386</v>
      </c>
      <c r="H426" s="230">
        <v>-10117.521272023161</v>
      </c>
      <c r="I426" s="230">
        <v>6382.403666963498</v>
      </c>
      <c r="J426" s="170">
        <v>79421.61801004193</v>
      </c>
    </row>
    <row r="427">
      <c r="A427" s="229">
        <v>43173.0</v>
      </c>
      <c r="B427" s="21">
        <v>-0.05509982621688692</v>
      </c>
      <c r="C427" s="21">
        <v>0.008419340667115197</v>
      </c>
      <c r="D427" s="21">
        <v>-0.04668048554977172</v>
      </c>
      <c r="E427" s="21">
        <v>-0.0029529054963335494</v>
      </c>
      <c r="F427" s="232">
        <v>-652.3483168023213</v>
      </c>
      <c r="G427" s="171">
        <v>21.218440969487855</v>
      </c>
      <c r="H427" s="230">
        <v>-10312.53327061061</v>
      </c>
      <c r="I427" s="230">
        <v>6327.60979571973</v>
      </c>
      <c r="J427" s="170">
        <v>79226.60601145448</v>
      </c>
    </row>
    <row r="428">
      <c r="A428" s="229">
        <v>43172.0</v>
      </c>
      <c r="B428" s="21">
        <v>-0.05215660925987111</v>
      </c>
      <c r="C428" s="21">
        <v>0.008429029206432934</v>
      </c>
      <c r="D428" s="21">
        <v>-0.04372758005343817</v>
      </c>
      <c r="E428" s="21">
        <v>4.8742107089901066E-4</v>
      </c>
      <c r="F428" s="232">
        <v>107.67981419309035</v>
      </c>
      <c r="G428" s="171">
        <v>27.49889239698536</v>
      </c>
      <c r="H428" s="230">
        <v>-9660.184953808288</v>
      </c>
      <c r="I428" s="230">
        <v>6306.391354750242</v>
      </c>
      <c r="J428" s="170">
        <v>79878.9543282568</v>
      </c>
    </row>
    <row r="429">
      <c r="A429" s="229">
        <v>43171.0</v>
      </c>
      <c r="B429" s="21">
        <v>-0.05265374119391117</v>
      </c>
      <c r="C429" s="21">
        <v>0.008438740069573984</v>
      </c>
      <c r="D429" s="21">
        <v>-0.04421500112433718</v>
      </c>
      <c r="E429" s="21">
        <v>0.0013088807573918768</v>
      </c>
      <c r="F429" s="232">
        <v>801.9291300213044</v>
      </c>
      <c r="G429" s="171">
        <v>27.369794405669083</v>
      </c>
      <c r="H429" s="230">
        <v>-9767.864768001378</v>
      </c>
      <c r="I429" s="230">
        <v>6278.892462353257</v>
      </c>
      <c r="J429" s="170">
        <v>79771.27451406371</v>
      </c>
    </row>
    <row r="430">
      <c r="A430" s="229">
        <v>43168.0</v>
      </c>
      <c r="B430" s="21">
        <v>-0.057090324338989036</v>
      </c>
      <c r="C430" s="21">
        <v>0.009245328509802383</v>
      </c>
      <c r="D430" s="21">
        <v>-0.04784499582918665</v>
      </c>
      <c r="E430" s="21">
        <v>0.011358112933773423</v>
      </c>
      <c r="F430" s="232">
        <v>2509.2052094446117</v>
      </c>
      <c r="G430" s="171">
        <v>60.816588618264454</v>
      </c>
      <c r="H430" s="230">
        <v>-10569.793898022683</v>
      </c>
      <c r="I430" s="230">
        <v>6251.522667947587</v>
      </c>
      <c r="J430" s="170">
        <v>78969.3453840424</v>
      </c>
    </row>
    <row r="431">
      <c r="A431" s="229">
        <v>43167.0</v>
      </c>
      <c r="B431" s="21">
        <v>-0.06845913788446362</v>
      </c>
      <c r="C431" s="21">
        <v>0.009256029121503546</v>
      </c>
      <c r="D431" s="21">
        <v>-0.059203108762960074</v>
      </c>
      <c r="E431" s="21">
        <v>0.006143366465171343</v>
      </c>
      <c r="F431" s="232">
        <v>1357.1767799648078</v>
      </c>
      <c r="G431" s="171">
        <v>15.91764439520161</v>
      </c>
      <c r="H431" s="230">
        <v>-13078.999107467294</v>
      </c>
      <c r="I431" s="230">
        <v>6190.706079329323</v>
      </c>
      <c r="J431" s="170">
        <v>76460.1401745978</v>
      </c>
    </row>
    <row r="432">
      <c r="A432" s="229">
        <v>43166.0</v>
      </c>
      <c r="B432" s="21">
        <v>-0.07461322975997274</v>
      </c>
      <c r="C432" s="21">
        <v>0.009266754531841325</v>
      </c>
      <c r="D432" s="21">
        <v>-0.06534647522813142</v>
      </c>
      <c r="E432" s="21">
        <v>-0.010148587385134494</v>
      </c>
      <c r="F432" s="232">
        <v>-2241.9999240862726</v>
      </c>
      <c r="G432" s="171">
        <v>17.996871907684366</v>
      </c>
      <c r="H432" s="230">
        <v>-14436.175887432102</v>
      </c>
      <c r="I432" s="230">
        <v>6174.788434934121</v>
      </c>
      <c r="J432" s="170">
        <v>75102.96339463299</v>
      </c>
    </row>
    <row r="433">
      <c r="A433" s="229">
        <v>43165.0</v>
      </c>
      <c r="B433" s="21">
        <v>-0.0644753926701188</v>
      </c>
      <c r="C433" s="21">
        <v>0.00927750482712188</v>
      </c>
      <c r="D433" s="21">
        <v>-0.05519788784299692</v>
      </c>
      <c r="E433" s="21">
        <v>0.002013730105337952</v>
      </c>
      <c r="F433" s="232">
        <v>444.86809562394046</v>
      </c>
      <c r="G433" s="171">
        <v>21.66385909072938</v>
      </c>
      <c r="H433" s="230">
        <v>-12194.17596334583</v>
      </c>
      <c r="I433" s="230">
        <v>6156.791563026437</v>
      </c>
      <c r="J433" s="170">
        <v>77344.96331871925</v>
      </c>
    </row>
    <row r="434">
      <c r="A434" s="229">
        <v>43164.0</v>
      </c>
      <c r="B434" s="21">
        <v>-0.06635254671953905</v>
      </c>
      <c r="C434" s="21">
        <v>0.009140928771204173</v>
      </c>
      <c r="D434" s="21">
        <v>-0.057211617948334875</v>
      </c>
      <c r="E434" s="21">
        <v>0.004657630124910266</v>
      </c>
      <c r="F434" s="232">
        <v>-511.33926417262774</v>
      </c>
      <c r="G434" s="171">
        <v>25.6952664441176</v>
      </c>
      <c r="H434" s="230">
        <v>-12639.04405896977</v>
      </c>
      <c r="I434" s="230">
        <v>6135.127703935707</v>
      </c>
      <c r="J434" s="170">
        <v>76900.09522309531</v>
      </c>
    </row>
    <row r="435">
      <c r="A435" s="229">
        <v>43161.0</v>
      </c>
      <c r="B435" s="21">
        <v>-0.0640698909787894</v>
      </c>
      <c r="C435" s="21">
        <v>0.009172890060613977</v>
      </c>
      <c r="D435" s="21">
        <v>-0.054897000918175426</v>
      </c>
      <c r="E435" s="21">
        <v>-0.011344119627592693</v>
      </c>
      <c r="F435" s="232">
        <v>-2506.113844094507</v>
      </c>
      <c r="G435" s="171">
        <v>52.709808400986496</v>
      </c>
      <c r="H435" s="230">
        <v>-12127.704794797142</v>
      </c>
      <c r="I435" s="230">
        <v>6109.43243749159</v>
      </c>
      <c r="J435" s="170">
        <v>77411.43448726794</v>
      </c>
    </row>
    <row r="436">
      <c r="A436" s="229">
        <v>43160.0</v>
      </c>
      <c r="B436" s="21">
        <v>-0.052717981180851886</v>
      </c>
      <c r="C436" s="21">
        <v>0.009165099890269155</v>
      </c>
      <c r="D436" s="21">
        <v>-0.04355288129058273</v>
      </c>
      <c r="E436" s="21">
        <v>-0.0011222091949777482</v>
      </c>
      <c r="F436" s="232">
        <v>-247.91558021507626</v>
      </c>
      <c r="G436" s="171">
        <v>12.063179778785422</v>
      </c>
      <c r="H436" s="230">
        <v>-9621.590950702635</v>
      </c>
      <c r="I436" s="230">
        <v>6056.722629090603</v>
      </c>
      <c r="J436" s="170">
        <v>79917.54833136244</v>
      </c>
    </row>
    <row r="437">
      <c r="A437" s="229">
        <v>43159.0</v>
      </c>
      <c r="B437" s="21">
        <v>-0.05160647887826932</v>
      </c>
      <c r="C437" s="21">
        <v>0.009175806782664334</v>
      </c>
      <c r="D437" s="21">
        <v>-0.042430672095604985</v>
      </c>
      <c r="E437" s="21">
        <v>0.001988152265253715</v>
      </c>
      <c r="F437" s="232">
        <v>439.2175047238561</v>
      </c>
      <c r="G437" s="171">
        <v>0.5629035086671164</v>
      </c>
      <c r="H437" s="230">
        <v>-9373.67537048756</v>
      </c>
      <c r="I437" s="230">
        <v>6044.659449311817</v>
      </c>
      <c r="J437" s="170">
        <v>80165.46391157752</v>
      </c>
    </row>
    <row r="438">
      <c r="A438" s="229">
        <v>43158.0</v>
      </c>
      <c r="B438" s="21">
        <v>-0.053605363081280534</v>
      </c>
      <c r="C438" s="21">
        <v>0.009186538720421838</v>
      </c>
      <c r="D438" s="21">
        <v>-0.0444188243608587</v>
      </c>
      <c r="E438" s="21">
        <v>0.005517822053509966</v>
      </c>
      <c r="F438" s="232">
        <v>1218.9831112073498</v>
      </c>
      <c r="G438" s="171">
        <v>53.50976397520393</v>
      </c>
      <c r="H438" s="230">
        <v>-9812.892875211415</v>
      </c>
      <c r="I438" s="230">
        <v>6044.096545803151</v>
      </c>
      <c r="J438" s="170">
        <v>79726.24640685366</v>
      </c>
    </row>
    <row r="439">
      <c r="A439" s="229">
        <v>43157.0</v>
      </c>
      <c r="B439" s="21">
        <v>-0.059133942205891694</v>
      </c>
      <c r="C439" s="21">
        <v>0.00919729579152303</v>
      </c>
      <c r="D439" s="21">
        <v>-0.049936646414368666</v>
      </c>
      <c r="E439" s="21">
        <v>0.0028207521543082703</v>
      </c>
      <c r="F439" s="232">
        <v>2043.3265559317679</v>
      </c>
      <c r="G439" s="171">
        <v>57.8730110935267</v>
      </c>
      <c r="H439" s="230">
        <v>-11031.875986418765</v>
      </c>
      <c r="I439" s="230">
        <v>5990.586781827947</v>
      </c>
      <c r="J439" s="170">
        <v>78507.26329564632</v>
      </c>
    </row>
    <row r="440">
      <c r="A440" s="229">
        <v>43154.0</v>
      </c>
      <c r="B440" s="21">
        <v>-0.06841564200598191</v>
      </c>
      <c r="C440" s="21">
        <v>0.009229718690905603</v>
      </c>
      <c r="D440" s="21">
        <v>-0.05918592331507631</v>
      </c>
      <c r="E440" s="21">
        <v>0.0010277924004986339</v>
      </c>
      <c r="F440" s="232">
        <v>227.05726387789764</v>
      </c>
      <c r="G440" s="171">
        <v>15.387845834687212</v>
      </c>
      <c r="H440" s="230">
        <v>-13075.202542350533</v>
      </c>
      <c r="I440" s="230">
        <v>5932.71377073442</v>
      </c>
      <c r="J440" s="170">
        <v>76463.93673971455</v>
      </c>
    </row>
    <row r="441">
      <c r="A441" s="229">
        <v>43153.0</v>
      </c>
      <c r="B441" s="21">
        <v>-0.06945429289905808</v>
      </c>
      <c r="C441" s="21">
        <v>0.00924057718348314</v>
      </c>
      <c r="D441" s="21">
        <v>-0.06021371571557494</v>
      </c>
      <c r="E441" s="21">
        <v>-0.0015423032694904873</v>
      </c>
      <c r="F441" s="232">
        <v>-340.7216868606447</v>
      </c>
      <c r="G441" s="171">
        <v>26.61481724311859</v>
      </c>
      <c r="H441" s="230">
        <v>-13302.25980622843</v>
      </c>
      <c r="I441" s="230">
        <v>5917.325924899733</v>
      </c>
      <c r="J441" s="170">
        <v>76236.87947583666</v>
      </c>
    </row>
    <row r="442">
      <c r="A442" s="229">
        <v>43152.0</v>
      </c>
      <c r="B442" s="21">
        <v>-0.06792287370163294</v>
      </c>
      <c r="C442" s="21">
        <v>0.009251461255548488</v>
      </c>
      <c r="D442" s="21">
        <v>-0.05867141244608445</v>
      </c>
      <c r="E442" s="21">
        <v>-0.0034017092743802643</v>
      </c>
      <c r="F442" s="232">
        <v>-751.4968975973443</v>
      </c>
      <c r="G442" s="171">
        <v>26.44085715621057</v>
      </c>
      <c r="H442" s="230">
        <v>-12961.538119367786</v>
      </c>
      <c r="I442" s="230">
        <v>5890.711107656614</v>
      </c>
      <c r="J442" s="170">
        <v>76577.6011626973</v>
      </c>
    </row>
    <row r="443">
      <c r="A443" s="229">
        <v>43151.0</v>
      </c>
      <c r="B443" s="21">
        <v>-0.06453207416929932</v>
      </c>
      <c r="C443" s="21">
        <v>0.009262370997595129</v>
      </c>
      <c r="D443" s="21">
        <v>-0.05526970317170419</v>
      </c>
      <c r="E443" s="21">
        <v>0.0031352956569052973</v>
      </c>
      <c r="F443" s="232">
        <v>692.6414837858283</v>
      </c>
      <c r="G443" s="171">
        <v>57.13149896742166</v>
      </c>
      <c r="H443" s="230">
        <v>-12210.041221770442</v>
      </c>
      <c r="I443" s="230">
        <v>5864.270250500404</v>
      </c>
      <c r="J443" s="170">
        <v>77329.09806029465</v>
      </c>
    </row>
    <row r="444">
      <c r="A444" s="229">
        <v>43150.0</v>
      </c>
      <c r="B444" s="21">
        <v>-0.06767830532915337</v>
      </c>
      <c r="C444" s="21">
        <v>0.00927330650054388</v>
      </c>
      <c r="D444" s="21">
        <v>-0.058404998828609486</v>
      </c>
      <c r="E444" s="21">
        <v>5.131884333177475E-4</v>
      </c>
      <c r="F444" s="232">
        <v>1886.4522627642255</v>
      </c>
      <c r="G444" s="171">
        <v>18.97303999922772</v>
      </c>
      <c r="H444" s="230">
        <v>-12902.68270555627</v>
      </c>
      <c r="I444" s="230">
        <v>5807.138751532982</v>
      </c>
      <c r="J444" s="170">
        <v>76636.45657650882</v>
      </c>
    </row>
    <row r="445">
      <c r="A445" s="229">
        <v>43147.0</v>
      </c>
      <c r="B445" s="21">
        <v>-0.07625044050587632</v>
      </c>
      <c r="C445" s="21">
        <v>0.009306268490474723</v>
      </c>
      <c r="D445" s="21">
        <v>-0.06694417201540159</v>
      </c>
      <c r="E445" s="21">
        <v>0.00499508825352582</v>
      </c>
      <c r="F445" s="232">
        <v>1103.502099377225</v>
      </c>
      <c r="G445" s="171">
        <v>2.5357151943504164</v>
      </c>
      <c r="H445" s="230">
        <v>-14789.134968320495</v>
      </c>
      <c r="I445" s="230">
        <v>5788.165711533754</v>
      </c>
      <c r="J445" s="170">
        <v>74750.00431374459</v>
      </c>
    </row>
    <row r="446">
      <c r="A446" s="229">
        <v>43146.0</v>
      </c>
      <c r="B446" s="21">
        <v>-0.08125656822380366</v>
      </c>
      <c r="C446" s="21">
        <v>0.009317307954876237</v>
      </c>
      <c r="D446" s="21">
        <v>-0.07193926026892741</v>
      </c>
      <c r="E446" s="21">
        <v>-0.005120239824486741</v>
      </c>
      <c r="F446" s="232">
        <v>-1131.1502637911872</v>
      </c>
      <c r="G446" s="171">
        <v>31.557015126673594</v>
      </c>
      <c r="H446" s="230">
        <v>-15892.63706769772</v>
      </c>
      <c r="I446" s="230">
        <v>5785.629996339403</v>
      </c>
      <c r="J446" s="170">
        <v>73646.50221436737</v>
      </c>
    </row>
    <row r="447">
      <c r="A447" s="229">
        <v>43145.0</v>
      </c>
      <c r="B447" s="21">
        <v>-0.07614739408572413</v>
      </c>
      <c r="C447" s="21">
        <v>0.00932837364128346</v>
      </c>
      <c r="D447" s="21">
        <v>-0.06681902044444067</v>
      </c>
      <c r="E447" s="21">
        <v>0.006003051635650167</v>
      </c>
      <c r="F447" s="232">
        <v>1326.1787873185167</v>
      </c>
      <c r="G447" s="171">
        <v>23.008247516650037</v>
      </c>
      <c r="H447" s="230">
        <v>-14761.486803906533</v>
      </c>
      <c r="I447" s="230">
        <v>5754.072981212729</v>
      </c>
      <c r="J447" s="170">
        <v>74777.65247815856</v>
      </c>
    </row>
    <row r="448">
      <c r="A448" s="229">
        <v>43144.0</v>
      </c>
      <c r="B448" s="21">
        <v>-0.08216153772332588</v>
      </c>
      <c r="C448" s="21">
        <v>0.009339465643235042</v>
      </c>
      <c r="D448" s="21">
        <v>-0.07282207208009084</v>
      </c>
      <c r="E448" s="21">
        <v>-0.004951324002474777</v>
      </c>
      <c r="F448" s="232">
        <v>-1093.8338131605778</v>
      </c>
      <c r="G448" s="171">
        <v>29.325355393010817</v>
      </c>
      <c r="H448" s="230">
        <v>-16087.66559122505</v>
      </c>
      <c r="I448" s="230">
        <v>5731.064733696079</v>
      </c>
      <c r="J448" s="170">
        <v>73451.47369084004</v>
      </c>
    </row>
    <row r="449">
      <c r="A449" s="229">
        <v>43143.0</v>
      </c>
      <c r="B449" s="21">
        <v>-0.07706953151007957</v>
      </c>
      <c r="C449" s="21">
        <v>0.009198783432463515</v>
      </c>
      <c r="D449" s="21">
        <v>-0.06787074807761606</v>
      </c>
      <c r="E449" s="21">
        <v>0.009077961553909983</v>
      </c>
      <c r="F449" s="232">
        <v>441.9923338653589</v>
      </c>
      <c r="G449" s="171">
        <v>14.243957134678574</v>
      </c>
      <c r="H449" s="230">
        <v>-14993.831778064472</v>
      </c>
      <c r="I449" s="230">
        <v>5701.739378303068</v>
      </c>
      <c r="J449" s="170">
        <v>74545.30750400061</v>
      </c>
    </row>
    <row r="450">
      <c r="A450" s="229">
        <v>43140.0</v>
      </c>
      <c r="B450" s="21">
        <v>-0.07910321480563388</v>
      </c>
      <c r="C450" s="21">
        <v>0.009231753982400661</v>
      </c>
      <c r="D450" s="21">
        <v>-0.06987146082323323</v>
      </c>
      <c r="E450" s="21">
        <v>-0.01098078549344686</v>
      </c>
      <c r="F450" s="232">
        <v>-2425.846998053834</v>
      </c>
      <c r="G450" s="171">
        <v>62.129077988130625</v>
      </c>
      <c r="H450" s="230">
        <v>-15435.82411192983</v>
      </c>
      <c r="I450" s="230">
        <v>5687.49542116839</v>
      </c>
      <c r="J450" s="170">
        <v>74103.31517013525</v>
      </c>
    </row>
    <row r="451">
      <c r="A451" s="229">
        <v>43139.0</v>
      </c>
      <c r="B451" s="21">
        <v>-0.06813347208010856</v>
      </c>
      <c r="C451" s="21">
        <v>0.009242796750322193</v>
      </c>
      <c r="D451" s="21">
        <v>-0.05889067532978637</v>
      </c>
      <c r="E451" s="21">
        <v>0.0012088648859239423</v>
      </c>
      <c r="F451" s="232">
        <v>267.05933344398363</v>
      </c>
      <c r="G451" s="171">
        <v>19.0887857783493</v>
      </c>
      <c r="H451" s="230">
        <v>-13009.977113875997</v>
      </c>
      <c r="I451" s="230">
        <v>5625.366343180259</v>
      </c>
      <c r="J451" s="170">
        <v>76529.16216818908</v>
      </c>
    </row>
    <row r="452">
      <c r="A452" s="229">
        <v>43138.0</v>
      </c>
      <c r="B452" s="21">
        <v>-0.06935340618369756</v>
      </c>
      <c r="C452" s="21">
        <v>0.009253865967987251</v>
      </c>
      <c r="D452" s="21">
        <v>-0.06009954021571031</v>
      </c>
      <c r="E452" s="21">
        <v>0.009562130320204872</v>
      </c>
      <c r="F452" s="232">
        <v>2112.4413318256393</v>
      </c>
      <c r="G452" s="171">
        <v>17.177921998040212</v>
      </c>
      <c r="H452" s="230">
        <v>-13277.03644731998</v>
      </c>
      <c r="I452" s="230">
        <v>5606.27755740191</v>
      </c>
      <c r="J452" s="170">
        <v>76262.1028347451</v>
      </c>
    </row>
    <row r="453">
      <c r="A453" s="229">
        <v>43137.0</v>
      </c>
      <c r="B453" s="21">
        <v>-0.07892663226645398</v>
      </c>
      <c r="C453" s="21">
        <v>0.009264961730538793</v>
      </c>
      <c r="D453" s="21">
        <v>-0.06966167053591518</v>
      </c>
      <c r="E453" s="21">
        <v>-0.012749908743572513</v>
      </c>
      <c r="F453" s="232">
        <v>-2816.6771739156356</v>
      </c>
      <c r="G453" s="171">
        <v>65.92920582628379</v>
      </c>
      <c r="H453" s="230">
        <v>-15389.47777914562</v>
      </c>
      <c r="I453" s="230">
        <v>5589.09963540387</v>
      </c>
      <c r="J453" s="170">
        <v>74149.66150291947</v>
      </c>
    </row>
    <row r="454">
      <c r="A454" s="229">
        <v>43136.0</v>
      </c>
      <c r="B454" s="21">
        <v>-0.06635922179181371</v>
      </c>
      <c r="C454" s="21">
        <v>0.00944745999947104</v>
      </c>
      <c r="D454" s="21">
        <v>-0.05691176179234267</v>
      </c>
      <c r="E454" s="21">
        <v>-0.00982309124302351</v>
      </c>
      <c r="F454" s="232">
        <v>-3421.936725621128</v>
      </c>
      <c r="G454" s="171">
        <v>62.26528486213435</v>
      </c>
      <c r="H454" s="230">
        <v>-12572.800605229984</v>
      </c>
      <c r="I454" s="230">
        <v>5523.170429577586</v>
      </c>
      <c r="J454" s="170">
        <v>76966.3386768351</v>
      </c>
    </row>
    <row r="455">
      <c r="A455" s="229">
        <v>43133.0</v>
      </c>
      <c r="B455" s="21">
        <v>-0.051776280570347465</v>
      </c>
      <c r="C455" s="21">
        <v>0.010354182052868786</v>
      </c>
      <c r="D455" s="21">
        <v>-0.041422098517478675</v>
      </c>
      <c r="E455" s="21">
        <v>-0.017979088891415702</v>
      </c>
      <c r="F455" s="232">
        <v>-3971.894254833789</v>
      </c>
      <c r="G455" s="171">
        <v>42.99408054965552</v>
      </c>
      <c r="H455" s="230">
        <v>-9150.863879608856</v>
      </c>
      <c r="I455" s="230">
        <v>5460.905144715452</v>
      </c>
      <c r="J455" s="170">
        <v>80388.27540245623</v>
      </c>
    </row>
    <row r="456">
      <c r="A456" s="229">
        <v>43132.0</v>
      </c>
      <c r="B456" s="21">
        <v>-0.03378770573765816</v>
      </c>
      <c r="C456" s="21">
        <v>0.010344696111595187</v>
      </c>
      <c r="D456" s="21">
        <v>-0.023443009626062973</v>
      </c>
      <c r="E456" s="21">
        <v>0.00397752861563818</v>
      </c>
      <c r="F456" s="232">
        <v>878.7054311986494</v>
      </c>
      <c r="G456" s="171">
        <v>35.85412386405636</v>
      </c>
      <c r="H456" s="230">
        <v>-5178.969624775067</v>
      </c>
      <c r="I456" s="230">
        <v>5417.911064165796</v>
      </c>
      <c r="J456" s="170">
        <v>84360.16965729003</v>
      </c>
    </row>
    <row r="457">
      <c r="A457" s="229">
        <v>43131.0</v>
      </c>
      <c r="B457" s="21">
        <v>-0.03777772794763402</v>
      </c>
      <c r="C457" s="21">
        <v>0.010357189705932864</v>
      </c>
      <c r="D457" s="21">
        <v>-0.027420538241701153</v>
      </c>
      <c r="E457" s="21">
        <v>-0.00845585324111512</v>
      </c>
      <c r="F457" s="232">
        <v>-1868.045433833896</v>
      </c>
      <c r="G457" s="171">
        <v>59.984540946138125</v>
      </c>
      <c r="H457" s="230">
        <v>-6057.675055973717</v>
      </c>
      <c r="I457" s="230">
        <v>5382.05694030174</v>
      </c>
      <c r="J457" s="170">
        <v>83481.46422609138</v>
      </c>
    </row>
    <row r="458">
      <c r="A458" s="229">
        <v>43130.0</v>
      </c>
      <c r="B458" s="21">
        <v>-0.029334398515111316</v>
      </c>
      <c r="C458" s="21">
        <v>0.010369713514525284</v>
      </c>
      <c r="D458" s="21">
        <v>-0.018964685000586033</v>
      </c>
      <c r="E458" s="21">
        <v>-0.01144108301393907</v>
      </c>
      <c r="F458" s="232">
        <v>-2527.5347469825438</v>
      </c>
      <c r="G458" s="171">
        <v>61.65711054307148</v>
      </c>
      <c r="H458" s="230">
        <v>-4189.629622139821</v>
      </c>
      <c r="I458" s="230">
        <v>5322.072399355602</v>
      </c>
      <c r="J458" s="170">
        <v>85349.50965992527</v>
      </c>
    </row>
    <row r="459">
      <c r="A459" s="229">
        <v>43129.0</v>
      </c>
      <c r="B459" s="21">
        <v>-0.01790586963375642</v>
      </c>
      <c r="C459" s="21">
        <v>0.010382267647109457</v>
      </c>
      <c r="D459" s="21">
        <v>-0.007523601986646963</v>
      </c>
      <c r="E459" s="21">
        <v>0.004894922610479259</v>
      </c>
      <c r="F459" s="232">
        <v>1911.0958692383194</v>
      </c>
      <c r="G459" s="171">
        <v>54.655196517173586</v>
      </c>
      <c r="H459" s="230">
        <v>-1662.0948751572766</v>
      </c>
      <c r="I459" s="230">
        <v>5260.415288812531</v>
      </c>
      <c r="J459" s="170">
        <v>87877.04440690782</v>
      </c>
    </row>
    <row r="460">
      <c r="A460" s="229">
        <v>43126.0</v>
      </c>
      <c r="B460" s="21">
        <v>-0.026594439472909726</v>
      </c>
      <c r="C460" s="21">
        <v>0.010420113094182759</v>
      </c>
      <c r="D460" s="21">
        <v>-0.01617432637872697</v>
      </c>
      <c r="E460" s="21">
        <v>1.214295605409324E-4</v>
      </c>
      <c r="F460" s="232">
        <v>26.825907407900104</v>
      </c>
      <c r="G460" s="171">
        <v>38.85146464044319</v>
      </c>
      <c r="H460" s="230">
        <v>-3573.190744395596</v>
      </c>
      <c r="I460" s="230">
        <v>5205.760092295357</v>
      </c>
      <c r="J460" s="170">
        <v>85965.94853766951</v>
      </c>
    </row>
    <row r="461">
      <c r="A461" s="229">
        <v>43125.0</v>
      </c>
      <c r="B461" s="21">
        <v>-0.026728545570061574</v>
      </c>
      <c r="C461" s="21">
        <v>0.010432789630793672</v>
      </c>
      <c r="D461" s="21">
        <v>-0.0162957559392679</v>
      </c>
      <c r="E461" s="21">
        <v>-0.006808750523827291</v>
      </c>
      <c r="F461" s="232">
        <v>-1504.171721465732</v>
      </c>
      <c r="G461" s="171">
        <v>48.643415279447545</v>
      </c>
      <c r="H461" s="230">
        <v>-3600.016651803496</v>
      </c>
      <c r="I461" s="230">
        <v>5166.908627654914</v>
      </c>
      <c r="J461" s="170">
        <v>85939.12263026161</v>
      </c>
    </row>
    <row r="462">
      <c r="A462" s="229">
        <v>43124.0</v>
      </c>
      <c r="B462" s="21">
        <v>-0.019932502463567772</v>
      </c>
      <c r="C462" s="21">
        <v>0.010445497048127162</v>
      </c>
      <c r="D462" s="21">
        <v>-0.00948700541544061</v>
      </c>
      <c r="E462" s="21">
        <v>-0.003003481906397428</v>
      </c>
      <c r="F462" s="232">
        <v>-663.5215277350931</v>
      </c>
      <c r="G462" s="171">
        <v>43.66192242871016</v>
      </c>
      <c r="H462" s="230">
        <v>-2095.8449303377643</v>
      </c>
      <c r="I462" s="230">
        <v>5118.265212375467</v>
      </c>
      <c r="J462" s="170">
        <v>87443.29435172734</v>
      </c>
    </row>
    <row r="463">
      <c r="A463" s="229">
        <v>43123.0</v>
      </c>
      <c r="B463" s="21">
        <v>-0.016941758968204646</v>
      </c>
      <c r="C463" s="21">
        <v>0.010458235459161464</v>
      </c>
      <c r="D463" s="21">
        <v>-0.006483523509043182</v>
      </c>
      <c r="E463" s="21">
        <v>0.0061831634309918206</v>
      </c>
      <c r="F463" s="232">
        <v>1365.9686236926432</v>
      </c>
      <c r="G463" s="171">
        <v>57.214854988472354</v>
      </c>
      <c r="H463" s="230">
        <v>-1432.3234026026712</v>
      </c>
      <c r="I463" s="230">
        <v>5074.603289946756</v>
      </c>
      <c r="J463" s="170">
        <v>88106.81587946243</v>
      </c>
    </row>
    <row r="464">
      <c r="A464" s="229">
        <v>43122.0</v>
      </c>
      <c r="B464" s="21">
        <v>-0.023137691917461622</v>
      </c>
      <c r="C464" s="21">
        <v>0.01047100497742662</v>
      </c>
      <c r="D464" s="21">
        <v>-0.012666686940035003</v>
      </c>
      <c r="E464" s="21">
        <v>-0.0023324226484408867</v>
      </c>
      <c r="F464" s="232">
        <v>-170.02017580187385</v>
      </c>
      <c r="G464" s="171">
        <v>18.12844786677118</v>
      </c>
      <c r="H464" s="230">
        <v>-2798.2920262953144</v>
      </c>
      <c r="I464" s="230">
        <v>5017.388434958284</v>
      </c>
      <c r="J464" s="170">
        <v>86740.84725576978</v>
      </c>
    </row>
    <row r="465">
      <c r="A465" s="229">
        <v>43119.0</v>
      </c>
      <c r="B465" s="21">
        <v>-0.02240657868311503</v>
      </c>
      <c r="C465" s="21">
        <v>0.010509501319255396</v>
      </c>
      <c r="D465" s="21">
        <v>-0.011897077363859634</v>
      </c>
      <c r="E465" s="21">
        <v>-0.009464709511901866</v>
      </c>
      <c r="F465" s="232">
        <v>-2090.9193764508736</v>
      </c>
      <c r="G465" s="171">
        <v>39.114321137670444</v>
      </c>
      <c r="H465" s="230">
        <v>-2628.2718504934405</v>
      </c>
      <c r="I465" s="230">
        <v>4999.259987091513</v>
      </c>
      <c r="J465" s="170">
        <v>86910.86743157165</v>
      </c>
    </row>
    <row r="466">
      <c r="A466" s="229">
        <v>43118.0</v>
      </c>
      <c r="B466" s="21">
        <v>-0.012954764264856419</v>
      </c>
      <c r="C466" s="21">
        <v>0.01052239641289865</v>
      </c>
      <c r="D466" s="21">
        <v>-0.0024323678519577677</v>
      </c>
      <c r="E466" s="21">
        <v>0.0028866636847889315</v>
      </c>
      <c r="F466" s="232">
        <v>637.7143455097341</v>
      </c>
      <c r="G466" s="171">
        <v>24.821513696012136</v>
      </c>
      <c r="H466" s="230">
        <v>-537.3524740425671</v>
      </c>
      <c r="I466" s="230">
        <v>4960.145665953843</v>
      </c>
      <c r="J466" s="170">
        <v>89001.78680802252</v>
      </c>
    </row>
    <row r="467">
      <c r="A467" s="229">
        <v>43117.0</v>
      </c>
      <c r="B467" s="21">
        <v>-0.015854354726565375</v>
      </c>
      <c r="C467" s="21">
        <v>0.010535323189818676</v>
      </c>
      <c r="D467" s="21">
        <v>-0.005319031536746699</v>
      </c>
      <c r="E467" s="21">
        <v>-0.001801992358780525</v>
      </c>
      <c r="F467" s="232">
        <v>-398.09153513402407</v>
      </c>
      <c r="G467" s="171">
        <v>14.550957426805196</v>
      </c>
      <c r="H467" s="230">
        <v>-1175.0668195523012</v>
      </c>
      <c r="I467" s="230">
        <v>4935.32415225783</v>
      </c>
      <c r="J467" s="170">
        <v>88364.07246251278</v>
      </c>
    </row>
    <row r="468">
      <c r="A468" s="229">
        <v>43116.0</v>
      </c>
      <c r="B468" s="21">
        <v>-0.014065320944894094</v>
      </c>
      <c r="C468" s="21">
        <v>0.01054828176692792</v>
      </c>
      <c r="D468" s="21">
        <v>-0.0035170391779661744</v>
      </c>
      <c r="E468" s="21">
        <v>0.006084692370555098</v>
      </c>
      <c r="F468" s="232">
        <v>1344.214649307281</v>
      </c>
      <c r="G468" s="171">
        <v>69.91908581729656</v>
      </c>
      <c r="H468" s="230">
        <v>-776.9752844182772</v>
      </c>
      <c r="I468" s="230">
        <v>4920.773194831025</v>
      </c>
      <c r="J468" s="170">
        <v>88762.1639976468</v>
      </c>
    </row>
    <row r="469">
      <c r="A469" s="229">
        <v>43115.0</v>
      </c>
      <c r="B469" s="21">
        <v>-0.02016300381023605</v>
      </c>
      <c r="C469" s="21">
        <v>0.010561272261714778</v>
      </c>
      <c r="D469" s="21">
        <v>-0.009601731548521272</v>
      </c>
      <c r="E469" s="21">
        <v>-0.006048168646375559</v>
      </c>
      <c r="F469" s="232">
        <v>-1774.4904902783935</v>
      </c>
      <c r="G469" s="171">
        <v>69.89475938655974</v>
      </c>
      <c r="H469" s="230">
        <v>-2121.189933725558</v>
      </c>
      <c r="I469" s="230">
        <v>4850.854109013728</v>
      </c>
      <c r="J469" s="170">
        <v>87417.94934833952</v>
      </c>
    </row>
    <row r="470">
      <c r="A470" s="229">
        <v>43112.0</v>
      </c>
      <c r="B470" s="21">
        <v>-0.01216979848629027</v>
      </c>
      <c r="C470" s="21">
        <v>0.010600436435738455</v>
      </c>
      <c r="D470" s="21">
        <v>-0.001569362050551814</v>
      </c>
      <c r="E470" s="21">
        <v>-0.007429231010720979</v>
      </c>
      <c r="F470" s="232">
        <v>-1641.246680937466</v>
      </c>
      <c r="G470" s="171">
        <v>7.2261257847020754</v>
      </c>
      <c r="H470" s="230">
        <v>-346.6994434471647</v>
      </c>
      <c r="I470" s="230">
        <v>4780.959349627168</v>
      </c>
      <c r="J470" s="170">
        <v>89192.43983861791</v>
      </c>
    </row>
    <row r="471">
      <c r="A471" s="229">
        <v>43111.0</v>
      </c>
      <c r="B471" s="21">
        <v>-0.004753686827593719</v>
      </c>
      <c r="C471" s="21">
        <v>0.010613555787762885</v>
      </c>
      <c r="D471" s="21">
        <v>0.005859868960169165</v>
      </c>
      <c r="E471" s="21">
        <v>0.003904474473646639</v>
      </c>
      <c r="F471" s="232">
        <v>862.5664973171581</v>
      </c>
      <c r="G471" s="171">
        <v>52.024547548354924</v>
      </c>
      <c r="H471" s="230">
        <v>1294.5472374903013</v>
      </c>
      <c r="I471" s="230">
        <v>4773.733223842466</v>
      </c>
      <c r="J471" s="170">
        <v>90833.68651955537</v>
      </c>
    </row>
    <row r="472">
      <c r="A472" s="229">
        <v>43110.0</v>
      </c>
      <c r="B472" s="21">
        <v>-0.01244150755657043</v>
      </c>
      <c r="C472" s="21">
        <v>0.014396902043092956</v>
      </c>
      <c r="D472" s="21">
        <v>0.0019553944865225263</v>
      </c>
      <c r="E472" s="21">
        <v>-0.019226307520615923</v>
      </c>
      <c r="F472" s="232">
        <v>-4247.42659897873</v>
      </c>
      <c r="G472" s="171">
        <v>23.67900839543309</v>
      </c>
      <c r="H472" s="230">
        <v>431.98074017314315</v>
      </c>
      <c r="I472" s="230">
        <v>4721.708676294111</v>
      </c>
      <c r="J472" s="170">
        <v>89971.12002223822</v>
      </c>
    </row>
    <row r="473">
      <c r="A473" s="229">
        <v>43109.0</v>
      </c>
      <c r="B473" s="21">
        <v>0.006766937802701712</v>
      </c>
      <c r="C473" s="21">
        <v>0.014414764204436738</v>
      </c>
      <c r="D473" s="21">
        <v>0.02118170200713845</v>
      </c>
      <c r="E473" s="21">
        <v>0.0074392918560309915</v>
      </c>
      <c r="F473" s="232">
        <v>1643.469297107114</v>
      </c>
      <c r="G473" s="171">
        <v>62.77227577759513</v>
      </c>
      <c r="H473" s="230">
        <v>4679.407339151873</v>
      </c>
      <c r="I473" s="230">
        <v>4698.029667898678</v>
      </c>
      <c r="J473" s="170">
        <v>94218.54662121694</v>
      </c>
    </row>
    <row r="474">
      <c r="A474" s="229">
        <v>43108.0</v>
      </c>
      <c r="B474" s="21">
        <v>-6.902605927136814E-4</v>
      </c>
      <c r="C474" s="21">
        <v>0.01443267074382114</v>
      </c>
      <c r="D474" s="21">
        <v>0.013742410151107458</v>
      </c>
      <c r="E474" s="21">
        <v>0.004176364945733781</v>
      </c>
      <c r="F474" s="232">
        <v>1664.9952222683391</v>
      </c>
      <c r="G474" s="171">
        <v>6.8816170793513365</v>
      </c>
      <c r="H474" s="230">
        <v>3035.938042044759</v>
      </c>
      <c r="I474" s="230">
        <v>4635.257392121082</v>
      </c>
      <c r="J474" s="170">
        <v>92575.07732410982</v>
      </c>
    </row>
    <row r="475">
      <c r="A475" s="229">
        <v>43105.0</v>
      </c>
      <c r="B475" s="21">
        <v>-0.004289242968707136</v>
      </c>
      <c r="C475" s="21">
        <v>0.011238350198350263</v>
      </c>
      <c r="D475" s="21">
        <v>0.006205679517225667</v>
      </c>
      <c r="E475" s="21">
        <v>8.22467505142057E-4</v>
      </c>
      <c r="F475" s="232">
        <v>181.69741404532238</v>
      </c>
      <c r="G475" s="171">
        <v>65.59961680132528</v>
      </c>
      <c r="H475" s="230">
        <v>1370.94281977642</v>
      </c>
      <c r="I475" s="230">
        <v>4628.375775041731</v>
      </c>
      <c r="J475" s="170">
        <v>90910.08210184149</v>
      </c>
    </row>
    <row r="476">
      <c r="A476" s="229">
        <v>43104.0</v>
      </c>
      <c r="B476" s="21">
        <v>-0.0058551381862666525</v>
      </c>
      <c r="C476" s="21">
        <v>0.011238350198350263</v>
      </c>
      <c r="D476" s="21">
        <v>0.00538321201208361</v>
      </c>
      <c r="E476" s="21">
        <v>7.660046549844406E-4</v>
      </c>
      <c r="F476" s="232">
        <v>169.22378584830892</v>
      </c>
      <c r="G476" s="171">
        <v>41.98390508325616</v>
      </c>
      <c r="H476" s="230">
        <v>1189.2454057310977</v>
      </c>
      <c r="I476" s="230">
        <v>4562.7761582404055</v>
      </c>
      <c r="J476" s="170">
        <v>90728.38468779616</v>
      </c>
    </row>
    <row r="477">
      <c r="A477" s="229">
        <v>43103.0</v>
      </c>
      <c r="B477" s="21">
        <v>-0.006635190778999029</v>
      </c>
      <c r="C477" s="21">
        <v>0.011252398136098199</v>
      </c>
      <c r="D477" s="21">
        <v>0.00461720735709917</v>
      </c>
      <c r="E477" s="21">
        <v>8.151694367468237E-4</v>
      </c>
      <c r="F477" s="232">
        <v>180.0851434733553</v>
      </c>
      <c r="G477" s="171">
        <v>62.78395989343706</v>
      </c>
      <c r="H477" s="230">
        <v>1020.0216198827887</v>
      </c>
      <c r="I477" s="230">
        <v>4520.792253157149</v>
      </c>
      <c r="J477" s="170">
        <v>90559.16090194785</v>
      </c>
    </row>
    <row r="478">
      <c r="A478" s="229">
        <v>43102.0</v>
      </c>
      <c r="B478" s="21">
        <v>-0.007440526702320916</v>
      </c>
      <c r="C478" s="21">
        <v>0.011242564622673262</v>
      </c>
      <c r="D478" s="21">
        <v>0.003802037920352346</v>
      </c>
      <c r="E478" s="21">
        <v>-0.005132939574058901</v>
      </c>
      <c r="F478" s="232">
        <v>-1040.3817251072937</v>
      </c>
      <c r="G478" s="171">
        <v>21.422967328472062</v>
      </c>
      <c r="H478" s="230">
        <v>839.9364764094335</v>
      </c>
      <c r="I478" s="230">
        <v>4458.008293263712</v>
      </c>
      <c r="J478" s="170">
        <v>90379.0757584745</v>
      </c>
    </row>
    <row r="479">
      <c r="A479" s="229">
        <v>43098.0</v>
      </c>
      <c r="B479" s="21">
        <v>-0.0027806444335445445</v>
      </c>
      <c r="C479" s="21">
        <v>0.011292051314045905</v>
      </c>
      <c r="D479" s="21">
        <v>0.00851140688050136</v>
      </c>
      <c r="E479" s="21">
        <v>-0.0021908200824071536</v>
      </c>
      <c r="F479" s="232">
        <v>-483.9903596473223</v>
      </c>
      <c r="G479" s="171">
        <v>18.964565669492004</v>
      </c>
      <c r="H479" s="230">
        <v>1880.3182015167272</v>
      </c>
      <c r="I479" s="230">
        <v>4436.585325935241</v>
      </c>
      <c r="J479" s="170">
        <v>91419.45748358179</v>
      </c>
    </row>
    <row r="480">
      <c r="A480" s="229">
        <v>43097.0</v>
      </c>
      <c r="B480" s="21">
        <v>-6.040460782331649E-4</v>
      </c>
      <c r="C480" s="21">
        <v>0.011306273041141679</v>
      </c>
      <c r="D480" s="21">
        <v>0.010702226962908514</v>
      </c>
      <c r="E480" s="21">
        <v>0.005083803237135391</v>
      </c>
      <c r="F480" s="232">
        <v>1123.1007862653437</v>
      </c>
      <c r="G480" s="171">
        <v>44.85532030900128</v>
      </c>
      <c r="H480" s="230">
        <v>2364.3085611640495</v>
      </c>
      <c r="I480" s="230">
        <v>4417.620760265749</v>
      </c>
      <c r="J480" s="170">
        <v>91903.4478432291</v>
      </c>
    </row>
    <row r="481">
      <c r="A481" s="229">
        <v>43096.0</v>
      </c>
      <c r="B481" s="21">
        <v>-0.0057021069106285086</v>
      </c>
      <c r="C481" s="21">
        <v>0.011320530636401632</v>
      </c>
      <c r="D481" s="21">
        <v>0.005618423725773123</v>
      </c>
      <c r="E481" s="21">
        <v>-0.004550267042902571</v>
      </c>
      <c r="F481" s="232">
        <v>-741.102705382887</v>
      </c>
      <c r="G481" s="171">
        <v>7.107035932941339</v>
      </c>
      <c r="H481" s="230">
        <v>1241.2077748987058</v>
      </c>
      <c r="I481" s="230">
        <v>4372.765439956747</v>
      </c>
      <c r="J481" s="170">
        <v>90780.34705696376</v>
      </c>
    </row>
    <row r="482">
      <c r="A482" s="229">
        <v>43091.0</v>
      </c>
      <c r="B482" s="21">
        <v>-0.0017263091043883386</v>
      </c>
      <c r="C482" s="21">
        <v>0.010699391983418594</v>
      </c>
      <c r="D482" s="21">
        <v>0.008973082879030255</v>
      </c>
      <c r="E482" s="21">
        <v>0.009479068170680116</v>
      </c>
      <c r="F482" s="232">
        <v>2094.0914545607757</v>
      </c>
      <c r="G482" s="171">
        <v>49.14037783114782</v>
      </c>
      <c r="H482" s="230">
        <v>1982.3104802815928</v>
      </c>
      <c r="I482" s="230">
        <v>4365.658404023806</v>
      </c>
      <c r="J482" s="170">
        <v>91521.44976234665</v>
      </c>
    </row>
    <row r="483">
      <c r="A483" s="229">
        <v>43090.0</v>
      </c>
      <c r="B483" s="21">
        <v>-0.011218972436419691</v>
      </c>
      <c r="C483" s="21">
        <v>0.01071298714476983</v>
      </c>
      <c r="D483" s="21">
        <v>-5.05985291649861E-4</v>
      </c>
      <c r="E483" s="21">
        <v>-0.015673655115578618</v>
      </c>
      <c r="F483" s="232">
        <v>-3462.5837316782386</v>
      </c>
      <c r="G483" s="171">
        <v>68.7050727126926</v>
      </c>
      <c r="H483" s="230">
        <v>-111.78097427918294</v>
      </c>
      <c r="I483" s="230">
        <v>4316.518026192658</v>
      </c>
      <c r="J483" s="170">
        <v>89427.35830778586</v>
      </c>
    </row>
    <row r="484">
      <c r="A484" s="229">
        <v>43089.0</v>
      </c>
      <c r="B484" s="21">
        <v>0.004441052924521815</v>
      </c>
      <c r="C484" s="21">
        <v>0.01072661689940694</v>
      </c>
      <c r="D484" s="21">
        <v>0.015167669823928757</v>
      </c>
      <c r="E484" s="21">
        <v>-0.01608626938050253</v>
      </c>
      <c r="F484" s="232">
        <v>-3553.737417952978</v>
      </c>
      <c r="G484" s="171">
        <v>21.080662922392175</v>
      </c>
      <c r="H484" s="230">
        <v>3350.8027573990557</v>
      </c>
      <c r="I484" s="230">
        <v>4247.8129534799655</v>
      </c>
      <c r="J484" s="170">
        <v>92889.9420394641</v>
      </c>
    </row>
    <row r="485">
      <c r="A485" s="229">
        <v>43088.0</v>
      </c>
      <c r="B485" s="21">
        <v>0.02051365782489772</v>
      </c>
      <c r="C485" s="21">
        <v>0.010740281379533567</v>
      </c>
      <c r="D485" s="21">
        <v>0.031253939204431286</v>
      </c>
      <c r="E485" s="21">
        <v>-0.0037120225860544087</v>
      </c>
      <c r="F485" s="232">
        <v>-820.050519378784</v>
      </c>
      <c r="G485" s="171">
        <v>63.49177916669854</v>
      </c>
      <c r="H485" s="230">
        <v>6904.540175352034</v>
      </c>
      <c r="I485" s="230">
        <v>4226.732290557573</v>
      </c>
      <c r="J485" s="170">
        <v>96443.67945741708</v>
      </c>
    </row>
    <row r="486">
      <c r="A486" s="229">
        <v>43087.0</v>
      </c>
      <c r="B486" s="21">
        <v>0.024211981072457825</v>
      </c>
      <c r="C486" s="21">
        <v>0.010753980718027873</v>
      </c>
      <c r="D486" s="21">
        <v>0.034965961790485695</v>
      </c>
      <c r="E486" s="21">
        <v>-0.005952208502418635</v>
      </c>
      <c r="F486" s="232">
        <v>1377.176444570363</v>
      </c>
      <c r="G486" s="171">
        <v>58.344747096141965</v>
      </c>
      <c r="H486" s="230">
        <v>7724.590694730818</v>
      </c>
      <c r="I486" s="230">
        <v>4163.240511390874</v>
      </c>
      <c r="J486" s="170">
        <v>97263.72997679586</v>
      </c>
    </row>
    <row r="487">
      <c r="A487" s="229">
        <v>43084.0</v>
      </c>
      <c r="B487" s="21">
        <v>0.017936776062110284</v>
      </c>
      <c r="C487" s="21">
        <v>0.010795289222706603</v>
      </c>
      <c r="D487" s="21">
        <v>0.028732065284816886</v>
      </c>
      <c r="E487" s="21">
        <v>0.004877418154602395</v>
      </c>
      <c r="F487" s="232">
        <v>1077.5067225979901</v>
      </c>
      <c r="G487" s="171">
        <v>13.935531988298896</v>
      </c>
      <c r="H487" s="230">
        <v>6347.414250160455</v>
      </c>
      <c r="I487" s="230">
        <v>4104.8957642947325</v>
      </c>
      <c r="J487" s="170">
        <v>95886.5535322255</v>
      </c>
    </row>
    <row r="488">
      <c r="A488" s="229">
        <v>43083.0</v>
      </c>
      <c r="B488" s="21">
        <v>0.01304551779311981</v>
      </c>
      <c r="C488" s="21">
        <v>0.010809129337094683</v>
      </c>
      <c r="D488" s="21">
        <v>0.02385464713021449</v>
      </c>
      <c r="E488" s="21">
        <v>-0.001070995432791426</v>
      </c>
      <c r="F488" s="232">
        <v>-236.6015670843335</v>
      </c>
      <c r="G488" s="171">
        <v>1.6235366890175473</v>
      </c>
      <c r="H488" s="230">
        <v>5269.907527562465</v>
      </c>
      <c r="I488" s="230">
        <v>4090.9602323064337</v>
      </c>
      <c r="J488" s="170">
        <v>94809.04680962751</v>
      </c>
    </row>
    <row r="489">
      <c r="A489" s="229">
        <v>43082.0</v>
      </c>
      <c r="B489" s="21">
        <v>0.014102637578495194</v>
      </c>
      <c r="C489" s="21">
        <v>0.010823004984510725</v>
      </c>
      <c r="D489" s="21">
        <v>0.024925642563005918</v>
      </c>
      <c r="E489" s="21">
        <v>0.002150716273818791</v>
      </c>
      <c r="F489" s="232">
        <v>475.1307290013492</v>
      </c>
      <c r="G489" s="171">
        <v>9.424224831081114</v>
      </c>
      <c r="H489" s="230">
        <v>5506.509094646798</v>
      </c>
      <c r="I489" s="230">
        <v>4089.3366956174164</v>
      </c>
      <c r="J489" s="170">
        <v>95045.64837671185</v>
      </c>
    </row>
    <row r="490">
      <c r="A490" s="229">
        <v>43081.0</v>
      </c>
      <c r="B490" s="21">
        <v>0.011938009987215592</v>
      </c>
      <c r="C490" s="21">
        <v>0.010836916301971537</v>
      </c>
      <c r="D490" s="21">
        <v>0.022774926289187127</v>
      </c>
      <c r="E490" s="21">
        <v>0.002366312320246842</v>
      </c>
      <c r="F490" s="232">
        <v>522.7596552135828</v>
      </c>
      <c r="G490" s="171">
        <v>41.59738110183866</v>
      </c>
      <c r="H490" s="230">
        <v>5031.378365645449</v>
      </c>
      <c r="I490" s="230">
        <v>4079.9124707863352</v>
      </c>
      <c r="J490" s="170">
        <v>94570.5176477105</v>
      </c>
    </row>
    <row r="491">
      <c r="A491" s="229">
        <v>43080.0</v>
      </c>
      <c r="B491" s="21">
        <v>0.009533063914576888</v>
      </c>
      <c r="C491" s="21">
        <v>0.010875550054363397</v>
      </c>
      <c r="D491" s="21">
        <v>0.020408613968940285</v>
      </c>
      <c r="E491" s="21">
        <v>-0.003544649666722608</v>
      </c>
      <c r="F491" s="232">
        <v>-1325.6261125418596</v>
      </c>
      <c r="G491" s="171">
        <v>69.09115590353099</v>
      </c>
      <c r="H491" s="230">
        <v>4508.618710431866</v>
      </c>
      <c r="I491" s="230">
        <v>4038.315089684497</v>
      </c>
      <c r="J491" s="170">
        <v>94047.75799249692</v>
      </c>
    </row>
    <row r="492">
      <c r="A492" s="229">
        <v>43077.0</v>
      </c>
      <c r="B492" s="21">
        <v>0.014648057315049761</v>
      </c>
      <c r="C492" s="21">
        <v>0.011761106564091817</v>
      </c>
      <c r="D492" s="21">
        <v>0.02640916387914158</v>
      </c>
      <c r="E492" s="21">
        <v>-0.002008707308177697</v>
      </c>
      <c r="F492" s="232">
        <v>-443.75847214387977</v>
      </c>
      <c r="G492" s="171">
        <v>6.187330240850603</v>
      </c>
      <c r="H492" s="230">
        <v>5834.244822973726</v>
      </c>
      <c r="I492" s="230">
        <v>3969.223933780966</v>
      </c>
      <c r="J492" s="170">
        <v>95373.38410503877</v>
      </c>
    </row>
    <row r="493">
      <c r="A493" s="229">
        <v>43076.0</v>
      </c>
      <c r="B493" s="21">
        <v>0.016641549737633557</v>
      </c>
      <c r="C493" s="21">
        <v>0.011776321449685719</v>
      </c>
      <c r="D493" s="21">
        <v>0.028417871187319275</v>
      </c>
      <c r="E493" s="21">
        <v>0.008677597282895418</v>
      </c>
      <c r="F493" s="232">
        <v>1917.0325594279693</v>
      </c>
      <c r="G493" s="171">
        <v>4.719758631780843</v>
      </c>
      <c r="H493" s="230">
        <v>6278.003295117605</v>
      </c>
      <c r="I493" s="230">
        <v>3963.0366035401153</v>
      </c>
      <c r="J493" s="170">
        <v>95817.14257718265</v>
      </c>
    </row>
    <row r="494">
      <c r="A494" s="229">
        <v>43075.0</v>
      </c>
      <c r="B494" s="21">
        <v>0.00794869815234217</v>
      </c>
      <c r="C494" s="21">
        <v>0.011791575752081687</v>
      </c>
      <c r="D494" s="21">
        <v>0.019740273904423858</v>
      </c>
      <c r="E494" s="21">
        <v>0.0036869821863339917</v>
      </c>
      <c r="F494" s="232">
        <v>814.5186584269336</v>
      </c>
      <c r="G494" s="171">
        <v>63.264311288032346</v>
      </c>
      <c r="H494" s="230">
        <v>4360.970735689636</v>
      </c>
      <c r="I494" s="230">
        <v>3958.3168449083346</v>
      </c>
      <c r="J494" s="170">
        <v>93900.11001775468</v>
      </c>
    </row>
    <row r="495">
      <c r="A495" s="229">
        <v>43074.0</v>
      </c>
      <c r="B495" s="21">
        <v>0.004246422093437383</v>
      </c>
      <c r="C495" s="21">
        <v>0.011806869624652484</v>
      </c>
      <c r="D495" s="21">
        <v>0.016053291718089866</v>
      </c>
      <c r="E495" s="21">
        <v>-0.0038586401907255326</v>
      </c>
      <c r="F495" s="232">
        <v>-852.4409049632718</v>
      </c>
      <c r="G495" s="171">
        <v>16.815230569765593</v>
      </c>
      <c r="H495" s="230">
        <v>3546.4520772627025</v>
      </c>
      <c r="I495" s="230">
        <v>3895.0525336203023</v>
      </c>
      <c r="J495" s="170">
        <v>93085.59135932774</v>
      </c>
    </row>
    <row r="496">
      <c r="A496" s="229">
        <v>43073.0</v>
      </c>
      <c r="B496" s="21">
        <v>0.008089728687247782</v>
      </c>
      <c r="C496" s="21">
        <v>0.011822203221567617</v>
      </c>
      <c r="D496" s="21">
        <v>0.0199119319088154</v>
      </c>
      <c r="E496" s="21">
        <v>0.010947049400104552</v>
      </c>
      <c r="F496" s="232">
        <v>4086.964675444697</v>
      </c>
      <c r="G496" s="171">
        <v>53.39929032212993</v>
      </c>
      <c r="H496" s="230">
        <v>4398.892982225974</v>
      </c>
      <c r="I496" s="230">
        <v>3878.237303050537</v>
      </c>
      <c r="J496" s="170">
        <v>93938.032264291</v>
      </c>
    </row>
    <row r="497">
      <c r="A497" s="229">
        <v>43070.0</v>
      </c>
      <c r="B497" s="21">
        <v>-0.010435746336066228</v>
      </c>
      <c r="C497" s="21">
        <v>0.011847714126634724</v>
      </c>
      <c r="D497" s="21">
        <v>0.0014119677905684962</v>
      </c>
      <c r="E497" s="21">
        <v>-0.009679035370914154</v>
      </c>
      <c r="F497" s="232">
        <v>-2138.267696113483</v>
      </c>
      <c r="G497" s="171">
        <v>42.69988599607971</v>
      </c>
      <c r="H497" s="230">
        <v>311.9283067812772</v>
      </c>
      <c r="I497" s="230">
        <v>3824.8380127284067</v>
      </c>
      <c r="J497" s="170">
        <v>89851.0675888463</v>
      </c>
    </row>
    <row r="498">
      <c r="A498" s="229">
        <v>43069.0</v>
      </c>
      <c r="B498" s="21">
        <v>-5.497713545283561E-4</v>
      </c>
      <c r="C498" s="21">
        <v>0.011640774516011006</v>
      </c>
      <c r="D498" s="21">
        <v>0.01109100316148265</v>
      </c>
      <c r="E498" s="21">
        <v>-0.00830063514402886</v>
      </c>
      <c r="F498" s="232">
        <v>-1833.7550494998209</v>
      </c>
      <c r="G498" s="171">
        <v>11.228665076077847</v>
      </c>
      <c r="H498" s="230">
        <v>2450.19600289476</v>
      </c>
      <c r="I498" s="230">
        <v>3782.1381267323272</v>
      </c>
      <c r="J498" s="170">
        <v>91989.33528495979</v>
      </c>
    </row>
    <row r="499">
      <c r="A499" s="229">
        <v>43068.0</v>
      </c>
      <c r="B499" s="21">
        <v>0.0053295697976165285</v>
      </c>
      <c r="C499" s="21">
        <v>0.014062068507894983</v>
      </c>
      <c r="D499" s="21">
        <v>0.01939163830551151</v>
      </c>
      <c r="E499" s="21">
        <v>0.00726891575243443</v>
      </c>
      <c r="F499" s="232">
        <v>1605.830244810129</v>
      </c>
      <c r="G499" s="171">
        <v>32.04598579500684</v>
      </c>
      <c r="H499" s="230">
        <v>4283.951052394581</v>
      </c>
      <c r="I499" s="230">
        <v>3770.9094616562493</v>
      </c>
      <c r="J499" s="170">
        <v>93823.0903344596</v>
      </c>
    </row>
    <row r="500">
      <c r="A500" s="229">
        <v>43067.0</v>
      </c>
      <c r="B500" s="21">
        <v>-0.0020132595869224845</v>
      </c>
      <c r="C500" s="21">
        <v>0.014135982139999566</v>
      </c>
      <c r="D500" s="21">
        <v>0.012122722553077081</v>
      </c>
      <c r="E500" s="21">
        <v>0.00637181601972619</v>
      </c>
      <c r="F500" s="232">
        <v>1407.645270261276</v>
      </c>
      <c r="G500" s="171">
        <v>27.924093602258548</v>
      </c>
      <c r="H500" s="230">
        <v>2678.120807584452</v>
      </c>
      <c r="I500" s="230">
        <v>3738.8634758612425</v>
      </c>
      <c r="J500" s="170">
        <v>92217.26008964947</v>
      </c>
    </row>
    <row r="501">
      <c r="A501" s="229">
        <v>43066.0</v>
      </c>
      <c r="B501" s="21">
        <v>-0.008385075606648675</v>
      </c>
      <c r="C501" s="21">
        <v>0.014135982139999566</v>
      </c>
      <c r="D501" s="21">
        <v>0.005750906533350891</v>
      </c>
      <c r="E501" s="21">
        <v>-0.00956913563868969</v>
      </c>
      <c r="F501" s="232">
        <v>-2113.988928837432</v>
      </c>
      <c r="G501" s="171">
        <v>38.49312993064673</v>
      </c>
      <c r="H501" s="230">
        <v>1270.475537323176</v>
      </c>
      <c r="I501" s="230">
        <v>3710.939382258984</v>
      </c>
      <c r="J501" s="170">
        <v>90809.6148193882</v>
      </c>
    </row>
    <row r="502">
      <c r="A502" s="229">
        <v>43063.0</v>
      </c>
      <c r="B502" s="21">
        <v>0.0011654600555410163</v>
      </c>
      <c r="C502" s="21">
        <v>0.014154582116499566</v>
      </c>
      <c r="D502" s="21">
        <v>0.015320042172040582</v>
      </c>
      <c r="E502" s="21">
        <v>-0.0023196010742614105</v>
      </c>
      <c r="F502" s="232">
        <v>-512.4403264263365</v>
      </c>
      <c r="G502" s="171">
        <v>64.40506082028263</v>
      </c>
      <c r="H502" s="230">
        <v>3384.464466160608</v>
      </c>
      <c r="I502" s="230">
        <v>3672.4462523283373</v>
      </c>
      <c r="J502" s="170">
        <v>92923.60374822562</v>
      </c>
    </row>
    <row r="503">
      <c r="A503" s="229">
        <v>43062.0</v>
      </c>
      <c r="B503" s="21">
        <v>0.0034664121415066453</v>
      </c>
      <c r="C503" s="21">
        <v>0.014173231104795347</v>
      </c>
      <c r="D503" s="21">
        <v>0.017639643246301993</v>
      </c>
      <c r="E503" s="21">
        <v>-0.006284471816351646</v>
      </c>
      <c r="F503" s="232">
        <v>-1388.3494126306914</v>
      </c>
      <c r="G503" s="171">
        <v>8.514907946304586</v>
      </c>
      <c r="H503" s="230">
        <v>3896.9047925869445</v>
      </c>
      <c r="I503" s="230">
        <v>3608.041191508055</v>
      </c>
      <c r="J503" s="170">
        <v>93436.04407465196</v>
      </c>
    </row>
    <row r="504">
      <c r="A504" s="229">
        <v>43061.0</v>
      </c>
      <c r="B504" s="21">
        <v>0.009732185763788646</v>
      </c>
      <c r="C504" s="21">
        <v>0.014191929298864992</v>
      </c>
      <c r="D504" s="21">
        <v>0.02392411506265364</v>
      </c>
      <c r="E504" s="21">
        <v>0.003167272189870802</v>
      </c>
      <c r="F504" s="232">
        <v>699.7056575235665</v>
      </c>
      <c r="G504" s="171">
        <v>14.095248565592886</v>
      </c>
      <c r="H504" s="230">
        <v>5285.254205217636</v>
      </c>
      <c r="I504" s="230">
        <v>3599.5262835617505</v>
      </c>
      <c r="J504" s="170">
        <v>94824.39348728265</v>
      </c>
    </row>
    <row r="505">
      <c r="A505" s="229">
        <v>43060.0</v>
      </c>
      <c r="B505" s="21">
        <v>0.0065461659790712595</v>
      </c>
      <c r="C505" s="21">
        <v>0.014210676893711579</v>
      </c>
      <c r="D505" s="21">
        <v>0.020756842872782837</v>
      </c>
      <c r="E505" s="21">
        <v>0.00620040525104712</v>
      </c>
      <c r="F505" s="232">
        <v>1369.7776424051112</v>
      </c>
      <c r="G505" s="171">
        <v>57.32717886726153</v>
      </c>
      <c r="H505" s="230">
        <v>4585.548547694069</v>
      </c>
      <c r="I505" s="230">
        <v>3585.4310349961575</v>
      </c>
      <c r="J505" s="170">
        <v>94124.68782975909</v>
      </c>
    </row>
    <row r="506">
      <c r="A506" s="229">
        <v>43059.0</v>
      </c>
      <c r="B506" s="21">
        <v>3.2696353636579135E-4</v>
      </c>
      <c r="C506" s="21">
        <v>0.014229474085369925</v>
      </c>
      <c r="D506" s="21">
        <v>0.014556437621735717</v>
      </c>
      <c r="E506" s="21">
        <v>-4.893879445442978E-4</v>
      </c>
      <c r="F506" s="232">
        <v>1829.6199066876366</v>
      </c>
      <c r="G506" s="171">
        <v>16.948070302571523</v>
      </c>
      <c r="H506" s="230">
        <v>3215.770905288958</v>
      </c>
      <c r="I506" s="230">
        <v>3528.103856128896</v>
      </c>
      <c r="J506" s="170">
        <v>92754.91018735398</v>
      </c>
    </row>
    <row r="507">
      <c r="A507" s="229">
        <v>43056.0</v>
      </c>
      <c r="B507" s="21">
        <v>-0.008312761320488858</v>
      </c>
      <c r="C507" s="21">
        <v>0.014587281844404642</v>
      </c>
      <c r="D507" s="21">
        <v>0.0062745205239157845</v>
      </c>
      <c r="E507" s="21">
        <v>-0.010914314917584739</v>
      </c>
      <c r="F507" s="232">
        <v>-2411.1624887343255</v>
      </c>
      <c r="G507" s="171">
        <v>54.91327401016216</v>
      </c>
      <c r="H507" s="230">
        <v>1386.1509986013216</v>
      </c>
      <c r="I507" s="230">
        <v>3511.1557858263245</v>
      </c>
      <c r="J507" s="170">
        <v>90925.29028066633</v>
      </c>
    </row>
    <row r="508">
      <c r="A508" s="229">
        <v>43055.0</v>
      </c>
      <c r="B508" s="21">
        <v>0.002582155615919807</v>
      </c>
      <c r="C508" s="21">
        <v>0.014606679825580718</v>
      </c>
      <c r="D508" s="21">
        <v>0.017188835441500523</v>
      </c>
      <c r="E508" s="21">
        <v>0.020584232471364653</v>
      </c>
      <c r="F508" s="232">
        <v>4547.41590004668</v>
      </c>
      <c r="G508" s="171">
        <v>65.36941449931986</v>
      </c>
      <c r="H508" s="230">
        <v>3797.313487335647</v>
      </c>
      <c r="I508" s="230">
        <v>3456.2425118161623</v>
      </c>
      <c r="J508" s="170">
        <v>93336.45276940065</v>
      </c>
    </row>
    <row r="509">
      <c r="A509" s="229">
        <v>43054.0</v>
      </c>
      <c r="B509" s="21">
        <v>-0.018021526495691966</v>
      </c>
      <c r="C509" s="21">
        <v>0.014626129465827836</v>
      </c>
      <c r="D509" s="21">
        <v>-0.00339539702986413</v>
      </c>
      <c r="E509" s="21">
        <v>-0.01059061643129419</v>
      </c>
      <c r="F509" s="232">
        <v>-2339.6518484699186</v>
      </c>
      <c r="G509" s="171">
        <v>50.94309934177744</v>
      </c>
      <c r="H509" s="230">
        <v>-750.102412711033</v>
      </c>
      <c r="I509" s="230">
        <v>3390.8730973168426</v>
      </c>
      <c r="J509" s="170">
        <v>88789.03686935398</v>
      </c>
    </row>
    <row r="510">
      <c r="A510" s="229">
        <v>43053.0</v>
      </c>
      <c r="B510" s="21">
        <v>-0.0074504115703522035</v>
      </c>
      <c r="C510" s="21">
        <v>0.014645630971782264</v>
      </c>
      <c r="D510" s="21">
        <v>0.00719521940143006</v>
      </c>
      <c r="E510" s="21">
        <v>-0.006923911879677494</v>
      </c>
      <c r="F510" s="232">
        <v>-1529.6128731527165</v>
      </c>
      <c r="G510" s="171">
        <v>37.73231018782497</v>
      </c>
      <c r="H510" s="230">
        <v>1589.5494357588855</v>
      </c>
      <c r="I510" s="230">
        <v>3339.9299979750654</v>
      </c>
      <c r="J510" s="170">
        <v>91128.6887178239</v>
      </c>
    </row>
    <row r="511">
      <c r="A511" s="229">
        <v>43052.0</v>
      </c>
      <c r="B511" s="21">
        <v>-5.460532700762895E-4</v>
      </c>
      <c r="C511" s="21">
        <v>0.014665184551183843</v>
      </c>
      <c r="D511" s="21">
        <v>0.014119131281107554</v>
      </c>
      <c r="E511" s="21">
        <v>0.0024971847464639943</v>
      </c>
      <c r="F511" s="232">
        <v>-2952.024621244299</v>
      </c>
      <c r="G511" s="171">
        <v>69.96612435547526</v>
      </c>
      <c r="H511" s="230">
        <v>3119.162308911602</v>
      </c>
      <c r="I511" s="230">
        <v>3302.1976877872403</v>
      </c>
      <c r="J511" s="170">
        <v>92658.30159097661</v>
      </c>
    </row>
    <row r="512">
      <c r="A512" s="229">
        <v>43049.0</v>
      </c>
      <c r="B512" s="21">
        <v>0.012757540969047769</v>
      </c>
      <c r="C512" s="21">
        <v>0.01472415982417788</v>
      </c>
      <c r="D512" s="21">
        <v>0.02748170079322565</v>
      </c>
      <c r="E512" s="21">
        <v>-0.007830241701264708</v>
      </c>
      <c r="F512" s="232">
        <v>-1729.8369352889003</v>
      </c>
      <c r="G512" s="171">
        <v>22.063088364226267</v>
      </c>
      <c r="H512" s="230">
        <v>6071.186930155901</v>
      </c>
      <c r="I512" s="230">
        <v>3232.231563431765</v>
      </c>
      <c r="J512" s="170">
        <v>95610.32621222091</v>
      </c>
    </row>
    <row r="513">
      <c r="A513" s="229">
        <v>43048.0</v>
      </c>
      <c r="B513" s="21">
        <v>0.02052751085721818</v>
      </c>
      <c r="C513" s="21">
        <v>0.014784431637272178</v>
      </c>
      <c r="D513" s="159">
        <v>0.03531194249449036</v>
      </c>
      <c r="E513" s="159">
        <v>-0.0024625825229685344</v>
      </c>
      <c r="F513" s="232">
        <v>-544.0274217512169</v>
      </c>
      <c r="G513" s="171">
        <v>26.463554046861365</v>
      </c>
      <c r="H513" s="230">
        <v>7801.023865444801</v>
      </c>
      <c r="I513" s="230">
        <v>3210.168475067539</v>
      </c>
      <c r="J513" s="170">
        <v>97340.16314750981</v>
      </c>
    </row>
    <row r="514">
      <c r="A514" s="229">
        <v>43047.0</v>
      </c>
      <c r="B514" s="21">
        <v>0.02297022183228715</v>
      </c>
      <c r="C514" s="21">
        <v>0.014804303185171739</v>
      </c>
      <c r="D514" s="159">
        <v>0.03777452501745889</v>
      </c>
      <c r="E514" s="159">
        <v>-0.0038270665885175095</v>
      </c>
      <c r="F514" s="232">
        <v>-845.4657456561526</v>
      </c>
      <c r="G514" s="171">
        <v>39.80479356701118</v>
      </c>
      <c r="H514" s="230">
        <v>8345.051287196018</v>
      </c>
      <c r="I514" s="230">
        <v>3183.704921020678</v>
      </c>
      <c r="J514" s="170">
        <v>97884.19056926103</v>
      </c>
    </row>
    <row r="515">
      <c r="A515" s="229">
        <v>43046.0</v>
      </c>
      <c r="B515" s="21">
        <v>0.02579178908345716</v>
      </c>
      <c r="C515" s="21">
        <v>0.01580980252251924</v>
      </c>
      <c r="D515" s="159">
        <v>0.0416015916059764</v>
      </c>
      <c r="E515" s="159">
        <v>0.009795835376515072</v>
      </c>
      <c r="F515" s="232">
        <v>2164.0708541051163</v>
      </c>
      <c r="G515" s="171">
        <v>63.572757375408685</v>
      </c>
      <c r="H515" s="230">
        <v>9190.51703285217</v>
      </c>
      <c r="I515" s="230">
        <v>3143.9001274536668</v>
      </c>
      <c r="J515" s="170">
        <v>98729.65631491719</v>
      </c>
    </row>
    <row r="516">
      <c r="A516" s="229">
        <v>43045.0</v>
      </c>
      <c r="B516" s="21">
        <v>0.015974646695456205</v>
      </c>
      <c r="C516" s="21">
        <v>0.015831109534005124</v>
      </c>
      <c r="D516" s="159">
        <v>0.03180575622946133</v>
      </c>
      <c r="E516" s="159">
        <v>4.917239573126245E-4</v>
      </c>
      <c r="F516" s="232">
        <v>1395.7065188713868</v>
      </c>
      <c r="G516" s="171">
        <v>16.42282888029826</v>
      </c>
      <c r="H516" s="230">
        <v>7026.446178747055</v>
      </c>
      <c r="I516" s="230">
        <v>3080.327370078258</v>
      </c>
      <c r="J516" s="170">
        <v>96565.58546081207</v>
      </c>
    </row>
    <row r="517">
      <c r="A517" s="229">
        <v>43042.0</v>
      </c>
      <c r="B517" s="21">
        <v>0.00959260534322259</v>
      </c>
      <c r="C517" s="21">
        <v>0.015895376555117455</v>
      </c>
      <c r="D517" s="159">
        <v>0.025487981898340045</v>
      </c>
      <c r="E517" s="159">
        <v>0.006457949651989297</v>
      </c>
      <c r="F517" s="232">
        <v>1426.6736916234477</v>
      </c>
      <c r="G517" s="171">
        <v>59.185698964240785</v>
      </c>
      <c r="H517" s="230">
        <v>5630.739659875668</v>
      </c>
      <c r="I517" s="230">
        <v>3063.9045411979596</v>
      </c>
      <c r="J517" s="170">
        <v>95169.87894194068</v>
      </c>
    </row>
    <row r="518">
      <c r="A518" s="229">
        <v>43041.0</v>
      </c>
      <c r="B518" s="21">
        <v>0.0031131172406165955</v>
      </c>
      <c r="C518" s="21">
        <v>0.015916915005734153</v>
      </c>
      <c r="D518" s="159">
        <v>0.019030032246350748</v>
      </c>
      <c r="E518" s="159">
        <v>0.0015834431196863862</v>
      </c>
      <c r="F518" s="232">
        <v>349.81019716417995</v>
      </c>
      <c r="G518" s="171">
        <v>29.070707253556</v>
      </c>
      <c r="H518" s="230">
        <v>4204.06596825222</v>
      </c>
      <c r="I518" s="230">
        <v>3004.718842233719</v>
      </c>
      <c r="J518" s="170">
        <v>93743.20525031723</v>
      </c>
    </row>
    <row r="519">
      <c r="A519" s="229">
        <v>43040.0</v>
      </c>
      <c r="B519" s="21">
        <v>0.0017955081210223622</v>
      </c>
      <c r="C519" s="21">
        <v>0.015651081005641998</v>
      </c>
      <c r="D519" s="159">
        <v>0.01744658912666436</v>
      </c>
      <c r="E519" s="159">
        <v>9.0940292432546E-4</v>
      </c>
      <c r="F519" s="232">
        <v>200.90296411971985</v>
      </c>
      <c r="G519" s="171">
        <v>45.03032370961847</v>
      </c>
      <c r="H519" s="230">
        <v>3854.25577108804</v>
      </c>
      <c r="I519" s="230">
        <v>2975.648134980163</v>
      </c>
      <c r="J519" s="170">
        <v>93393.39505315306</v>
      </c>
    </row>
    <row r="520">
      <c r="A520" s="229">
        <v>43039.0</v>
      </c>
      <c r="B520" s="21">
        <v>8.648401409827055E-4</v>
      </c>
      <c r="C520" s="21">
        <v>0.015672346061356195</v>
      </c>
      <c r="D520" s="159">
        <v>0.0165371862023389</v>
      </c>
      <c r="E520" s="159">
        <v>0.008142080114548426</v>
      </c>
      <c r="F520" s="232">
        <v>1798.7274786105625</v>
      </c>
      <c r="G520" s="171">
        <v>14.109556724833908</v>
      </c>
      <c r="H520" s="230">
        <v>3653.3528069683202</v>
      </c>
      <c r="I520" s="230">
        <v>2930.6178112705443</v>
      </c>
      <c r="J520" s="170">
        <v>93192.49208903333</v>
      </c>
    </row>
    <row r="521">
      <c r="A521" s="229">
        <v>43038.0</v>
      </c>
      <c r="B521" s="21">
        <v>-0.007298562893377088</v>
      </c>
      <c r="C521" s="21">
        <v>0.015693668981167565</v>
      </c>
      <c r="D521" s="159">
        <v>0.008395106087790476</v>
      </c>
      <c r="E521" s="159">
        <v>-0.004996116200191594</v>
      </c>
      <c r="F521" s="232">
        <v>1254.6025434055423</v>
      </c>
      <c r="G521" s="171">
        <v>18.845561128768118</v>
      </c>
      <c r="H521" s="230">
        <v>1854.6253283577578</v>
      </c>
      <c r="I521" s="230">
        <v>2916.5082545457103</v>
      </c>
      <c r="J521" s="170">
        <v>91393.76461042278</v>
      </c>
    </row>
    <row r="522">
      <c r="A522" s="229">
        <v>43035.0</v>
      </c>
      <c r="B522" s="21">
        <v>-0.013041937398205281</v>
      </c>
      <c r="C522" s="21">
        <v>0.015757987296664153</v>
      </c>
      <c r="D522" s="159">
        <v>0.0027160498984588714</v>
      </c>
      <c r="E522" s="159">
        <v>0.018931246705326966</v>
      </c>
      <c r="F522" s="232">
        <v>4182.242519621275</v>
      </c>
      <c r="G522" s="171">
        <v>64.47183410554636</v>
      </c>
      <c r="H522" s="230">
        <v>600.0227849522155</v>
      </c>
      <c r="I522" s="230">
        <v>2897.662693416942</v>
      </c>
      <c r="J522" s="170">
        <v>90139.16206701723</v>
      </c>
    </row>
    <row r="523">
      <c r="A523" s="229">
        <v>43034.0</v>
      </c>
      <c r="B523" s="21">
        <v>-0.03199474085770005</v>
      </c>
      <c r="C523" s="21">
        <v>0.015779544050831956</v>
      </c>
      <c r="D523" s="159">
        <v>-0.016215196806868094</v>
      </c>
      <c r="E523" s="159">
        <v>-0.009478634996169164</v>
      </c>
      <c r="F523" s="232">
        <v>-2093.9957587576246</v>
      </c>
      <c r="G523" s="171">
        <v>49.151955140633916</v>
      </c>
      <c r="H523" s="230">
        <v>-3582.2197346690596</v>
      </c>
      <c r="I523" s="230">
        <v>2833.190859311396</v>
      </c>
      <c r="J523" s="170">
        <v>85956.91954739596</v>
      </c>
    </row>
    <row r="524">
      <c r="A524" s="229">
        <v>43033.0</v>
      </c>
      <c r="B524" s="21">
        <v>-0.022537721675299147</v>
      </c>
      <c r="C524" s="21">
        <v>0.015801159864600216</v>
      </c>
      <c r="D524" s="159">
        <v>-0.00673656181069893</v>
      </c>
      <c r="E524" s="159">
        <v>-0.00775436794339455</v>
      </c>
      <c r="F524" s="232">
        <v>-1713.0750990914598</v>
      </c>
      <c r="G524" s="171">
        <v>44.644200348513216</v>
      </c>
      <c r="H524" s="230">
        <v>-1488.223975911435</v>
      </c>
      <c r="I524" s="230">
        <v>2784.0389041707617</v>
      </c>
      <c r="J524" s="170">
        <v>88050.91530615358</v>
      </c>
    </row>
    <row r="525">
      <c r="A525" s="229">
        <v>43032.0</v>
      </c>
      <c r="B525" s="21">
        <v>-0.014805028848316944</v>
      </c>
      <c r="C525" s="21">
        <v>0.015822834981012564</v>
      </c>
      <c r="D525" s="159">
        <v>0.0010178061326956197</v>
      </c>
      <c r="E525" s="159">
        <v>-0.0025839628055262364</v>
      </c>
      <c r="F525" s="232">
        <v>-570.8424427933131</v>
      </c>
      <c r="G525" s="171">
        <v>47.91436609287745</v>
      </c>
      <c r="H525" s="230">
        <v>224.85112318002493</v>
      </c>
      <c r="I525" s="230">
        <v>2739.3947038222486</v>
      </c>
      <c r="J525" s="170">
        <v>89763.99040524503</v>
      </c>
    </row>
    <row r="526">
      <c r="A526" s="229">
        <v>43031.0</v>
      </c>
      <c r="B526" s="21">
        <v>-0.012242800706226162</v>
      </c>
      <c r="C526" s="21">
        <v>0.01584456964444802</v>
      </c>
      <c r="D526" s="159">
        <v>0.003601768938221856</v>
      </c>
      <c r="E526" s="159">
        <v>0.0065025086819921925</v>
      </c>
      <c r="F526" s="232">
        <v>31.473502514242114</v>
      </c>
      <c r="G526" s="171">
        <v>3.352382072988415</v>
      </c>
      <c r="H526" s="230">
        <v>795.6935659733381</v>
      </c>
      <c r="I526" s="230">
        <v>2691.480337729371</v>
      </c>
      <c r="J526" s="170">
        <v>90334.83284803834</v>
      </c>
    </row>
    <row r="527">
      <c r="A527" s="229">
        <v>43028.0</v>
      </c>
      <c r="B527" s="21">
        <v>-0.012450831704682938</v>
      </c>
      <c r="C527" s="21">
        <v>0.015910133380907802</v>
      </c>
      <c r="D527" s="159">
        <v>0.003459301676224864</v>
      </c>
      <c r="E527" s="159">
        <v>0.005338912102754058</v>
      </c>
      <c r="F527" s="232">
        <v>1179.458783259938</v>
      </c>
      <c r="G527" s="171">
        <v>6.82332551288776</v>
      </c>
      <c r="H527" s="230">
        <v>764.220063459096</v>
      </c>
      <c r="I527" s="230">
        <v>2688.1279556563827</v>
      </c>
      <c r="J527" s="170">
        <v>90303.35934552409</v>
      </c>
    </row>
    <row r="528">
      <c r="A528" s="229">
        <v>43027.0</v>
      </c>
      <c r="B528" s="21">
        <v>-0.01781171912978632</v>
      </c>
      <c r="C528" s="21">
        <v>0.015932108703257127</v>
      </c>
      <c r="D528" s="159">
        <v>-0.0018796104265291942</v>
      </c>
      <c r="E528" s="159">
        <v>-0.015925966940460917</v>
      </c>
      <c r="F528" s="232">
        <v>-3518.3238135994716</v>
      </c>
      <c r="G528" s="171">
        <v>50.26632185194192</v>
      </c>
      <c r="H528" s="230">
        <v>-415.238719800842</v>
      </c>
      <c r="I528" s="230">
        <v>2681.304630143495</v>
      </c>
      <c r="J528" s="170">
        <v>89123.90056226416</v>
      </c>
    </row>
    <row r="529">
      <c r="A529" s="229">
        <v>43026.0</v>
      </c>
      <c r="B529" s="21">
        <v>-0.0019077883009481547</v>
      </c>
      <c r="C529" s="21">
        <v>0.01595414481487988</v>
      </c>
      <c r="D529" s="159">
        <v>0.014046356513931725</v>
      </c>
      <c r="E529" s="159">
        <v>0.003298347752623316</v>
      </c>
      <c r="F529" s="232">
        <v>728.6625350266522</v>
      </c>
      <c r="G529" s="171">
        <v>20.4385111645029</v>
      </c>
      <c r="H529" s="230">
        <v>3103.0850937986297</v>
      </c>
      <c r="I529" s="230">
        <v>2631.038308291553</v>
      </c>
      <c r="J529" s="170">
        <v>92642.22437586363</v>
      </c>
    </row>
    <row r="530">
      <c r="A530" s="229">
        <v>43025.0</v>
      </c>
      <c r="B530" s="21">
        <v>-0.005228233207054694</v>
      </c>
      <c r="C530" s="21">
        <v>0.015976241968363104</v>
      </c>
      <c r="D530" s="159">
        <v>0.010748008761308409</v>
      </c>
      <c r="E530" s="159">
        <v>0.0024331720932888774</v>
      </c>
      <c r="F530" s="232">
        <v>537.5301449769415</v>
      </c>
      <c r="G530" s="171">
        <v>5.580025432414525</v>
      </c>
      <c r="H530" s="230">
        <v>2374.4225587719775</v>
      </c>
      <c r="I530" s="230">
        <v>2610.5997971270504</v>
      </c>
      <c r="J530" s="170">
        <v>91913.56184083698</v>
      </c>
    </row>
    <row r="531">
      <c r="A531" s="229">
        <v>43024.0</v>
      </c>
      <c r="B531" s="21">
        <v>-0.007683563749675549</v>
      </c>
      <c r="C531" s="21">
        <v>0.01599840041769508</v>
      </c>
      <c r="D531" s="159">
        <v>0.008314836668019531</v>
      </c>
      <c r="E531" s="159">
        <v>0.004058425524109852</v>
      </c>
      <c r="F531" s="232">
        <v>2821.476523122284</v>
      </c>
      <c r="G531" s="171">
        <v>28.211445419140308</v>
      </c>
      <c r="H531" s="230">
        <v>1836.892413795036</v>
      </c>
      <c r="I531" s="230">
        <v>2605.019771694636</v>
      </c>
      <c r="J531" s="170">
        <v>91376.03169586003</v>
      </c>
    </row>
    <row r="532">
      <c r="A532" s="229">
        <v>43021.0</v>
      </c>
      <c r="B532" s="21">
        <v>-0.020522042805662517</v>
      </c>
      <c r="C532" s="21">
        <v>0.01606524610189158</v>
      </c>
      <c r="D532" s="159">
        <v>-0.004456796703770936</v>
      </c>
      <c r="E532" s="159">
        <v>0.005770242385775087</v>
      </c>
      <c r="F532" s="232">
        <v>1274.7471643015956</v>
      </c>
      <c r="G532" s="171">
        <v>32.99908855967962</v>
      </c>
      <c r="H532" s="230">
        <v>-984.5841093272483</v>
      </c>
      <c r="I532" s="230">
        <v>2576.808326275496</v>
      </c>
      <c r="J532" s="170">
        <v>88554.55517273775</v>
      </c>
    </row>
    <row r="533">
      <c r="A533" s="229">
        <v>43020.0</v>
      </c>
      <c r="B533" s="21">
        <v>-0.026314691392416538</v>
      </c>
      <c r="C533" s="21">
        <v>0.016087652302870514</v>
      </c>
      <c r="D533" s="159">
        <v>-0.010227039089546024</v>
      </c>
      <c r="E533" s="159">
        <v>-0.00273110160502478</v>
      </c>
      <c r="F533" s="232">
        <v>-603.3479694037544</v>
      </c>
      <c r="G533" s="171">
        <v>60.82346879880767</v>
      </c>
      <c r="H533" s="230">
        <v>-2259.331273628844</v>
      </c>
      <c r="I533" s="230">
        <v>2543.8092377158164</v>
      </c>
      <c r="J533" s="170">
        <v>87279.80800843616</v>
      </c>
    </row>
    <row r="534">
      <c r="A534" s="229">
        <v>43019.0</v>
      </c>
      <c r="B534" s="21">
        <v>-0.02360605857552426</v>
      </c>
      <c r="C534" s="21">
        <v>0.016110121091003016</v>
      </c>
      <c r="D534" s="159">
        <v>-0.007495937484521244</v>
      </c>
      <c r="E534" s="159">
        <v>0.0022989076736911578</v>
      </c>
      <c r="F534" s="232">
        <v>507.868793389576</v>
      </c>
      <c r="G534" s="171">
        <v>28.30052441687303</v>
      </c>
      <c r="H534" s="230">
        <v>-1655.9833042250896</v>
      </c>
      <c r="I534" s="230">
        <v>2482.9857689170085</v>
      </c>
      <c r="J534" s="170">
        <v>87883.15597783991</v>
      </c>
    </row>
    <row r="535">
      <c r="A535" s="229">
        <v>43018.0</v>
      </c>
      <c r="B535" s="21">
        <v>-0.025927497887104932</v>
      </c>
      <c r="C535" s="21">
        <v>0.01613265272889253</v>
      </c>
      <c r="D535" s="159">
        <v>-0.009794845158212401</v>
      </c>
      <c r="E535" s="159">
        <v>-0.004435634699865177</v>
      </c>
      <c r="F535" s="232">
        <v>-979.9090536421859</v>
      </c>
      <c r="G535" s="171">
        <v>54.44692134030805</v>
      </c>
      <c r="H535" s="230">
        <v>-2163.8520976146656</v>
      </c>
      <c r="I535" s="230">
        <v>2454.6852445001355</v>
      </c>
      <c r="J535" s="170">
        <v>87375.28718445034</v>
      </c>
    </row>
    <row r="536">
      <c r="A536" s="229">
        <v>43017.0</v>
      </c>
      <c r="B536" s="21">
        <v>-0.021514457938960892</v>
      </c>
      <c r="C536" s="21">
        <v>0.016155247480613668</v>
      </c>
      <c r="D536" s="159">
        <v>-0.005359210458347224</v>
      </c>
      <c r="E536" s="159">
        <v>-0.0010265965087301807</v>
      </c>
      <c r="F536" s="232">
        <v>-1347.1821809990738</v>
      </c>
      <c r="G536" s="171">
        <v>53.4932985047802</v>
      </c>
      <c r="H536" s="230">
        <v>-1183.9430439724797</v>
      </c>
      <c r="I536" s="230">
        <v>2400.2383231598274</v>
      </c>
      <c r="J536" s="170">
        <v>88355.19623809253</v>
      </c>
    </row>
    <row r="537">
      <c r="A537" s="229">
        <v>43014.0</v>
      </c>
      <c r="B537" s="21">
        <v>-0.015487746900297195</v>
      </c>
      <c r="C537" s="21">
        <v>0.016226661575980558</v>
      </c>
      <c r="D537" s="159">
        <v>7.389146756833637E-4</v>
      </c>
      <c r="E537" s="159">
        <v>0.004861595795893913</v>
      </c>
      <c r="F537" s="232">
        <v>1074.0112876495523</v>
      </c>
      <c r="G537" s="171">
        <v>13.788160800036007</v>
      </c>
      <c r="H537" s="230">
        <v>163.2391370265942</v>
      </c>
      <c r="I537" s="230">
        <v>2346.745024655047</v>
      </c>
      <c r="J537" s="170">
        <v>89702.3784190916</v>
      </c>
    </row>
    <row r="538">
      <c r="A538" s="229">
        <v>43013.0</v>
      </c>
      <c r="B538" s="21">
        <v>-0.020387258031603205</v>
      </c>
      <c r="C538" s="21">
        <v>0.016264576911392655</v>
      </c>
      <c r="D538" s="159">
        <v>-0.004122681120210549</v>
      </c>
      <c r="E538" s="159">
        <v>0.002181935945898956</v>
      </c>
      <c r="F538" s="232">
        <v>482.02769897140126</v>
      </c>
      <c r="G538" s="171">
        <v>59.95232441140949</v>
      </c>
      <c r="H538" s="230">
        <v>-910.7721506229581</v>
      </c>
      <c r="I538" s="230">
        <v>2332.956863855011</v>
      </c>
      <c r="J538" s="170">
        <v>88628.36713144205</v>
      </c>
    </row>
    <row r="539">
      <c r="A539" s="229">
        <v>43012.0</v>
      </c>
      <c r="B539" s="21">
        <v>-0.021253175269232562</v>
      </c>
      <c r="C539" s="21">
        <v>0.014948558203123057</v>
      </c>
      <c r="D539" s="159">
        <v>-0.006304617066109505</v>
      </c>
      <c r="E539" s="159">
        <v>0.0017747631192416447</v>
      </c>
      <c r="F539" s="232">
        <v>392.07612129736367</v>
      </c>
      <c r="G539" s="171">
        <v>47.1458279462146</v>
      </c>
      <c r="H539" s="230">
        <v>-1392.7998495943593</v>
      </c>
      <c r="I539" s="230">
        <v>2273.0045394436015</v>
      </c>
      <c r="J539" s="170">
        <v>88146.33943247065</v>
      </c>
    </row>
    <row r="540">
      <c r="A540" s="229">
        <v>43011.0</v>
      </c>
      <c r="B540" s="21">
        <v>-0.02008004257806596</v>
      </c>
      <c r="C540" s="21">
        <v>0.012000662392714809</v>
      </c>
      <c r="D540" s="159">
        <v>-0.00807938018535115</v>
      </c>
      <c r="E540" s="159">
        <v>-2.5117932126223624E-4</v>
      </c>
      <c r="F540" s="232">
        <v>-55.48989212300239</v>
      </c>
      <c r="G540" s="171">
        <v>42.439945713676146</v>
      </c>
      <c r="H540" s="230">
        <v>-1784.875970891723</v>
      </c>
      <c r="I540" s="230">
        <v>2225.858711497387</v>
      </c>
      <c r="J540" s="170">
        <v>87754.26331117329</v>
      </c>
    </row>
    <row r="541">
      <c r="A541" s="229">
        <v>43010.0</v>
      </c>
      <c r="B541" s="21">
        <v>-0.019845837319593985</v>
      </c>
      <c r="C541" s="21">
        <v>0.012017636455505071</v>
      </c>
      <c r="D541" s="159">
        <v>-0.007828200864088914</v>
      </c>
      <c r="E541" s="159">
        <v>0.00941406358356032</v>
      </c>
      <c r="F541" s="232">
        <v>2096.8318529015487</v>
      </c>
      <c r="G541" s="171">
        <v>49.4799469654101</v>
      </c>
      <c r="H541" s="230">
        <v>-1729.3860787687206</v>
      </c>
      <c r="I541" s="230">
        <v>2183.418765783711</v>
      </c>
      <c r="J541" s="170">
        <v>87809.75320329629</v>
      </c>
    </row>
    <row r="542">
      <c r="A542" s="229">
        <v>43007.0</v>
      </c>
      <c r="B542" s="21">
        <v>-0.028900294396653037</v>
      </c>
      <c r="C542" s="21">
        <v>0.011580620735223394</v>
      </c>
      <c r="D542" s="159">
        <v>-0.01731967366142964</v>
      </c>
      <c r="E542" s="159">
        <v>-0.005247617602244041</v>
      </c>
      <c r="F542" s="232">
        <v>-1159.2902361069846</v>
      </c>
      <c r="G542" s="171">
        <v>17.353071139589535</v>
      </c>
      <c r="H542" s="230">
        <v>-3826.217931670269</v>
      </c>
      <c r="I542" s="230">
        <v>2133.938818818301</v>
      </c>
      <c r="J542" s="170">
        <v>85712.92135039474</v>
      </c>
    </row>
    <row r="543">
      <c r="A543" s="229">
        <v>43006.0</v>
      </c>
      <c r="B543" s="21">
        <v>-0.02366914993912482</v>
      </c>
      <c r="C543" s="21">
        <v>0.01159709387993922</v>
      </c>
      <c r="D543" s="159">
        <v>-0.0120720560591856</v>
      </c>
      <c r="E543" s="159">
        <v>-0.018644512305315122</v>
      </c>
      <c r="F543" s="232">
        <v>-4118.897890594271</v>
      </c>
      <c r="G543" s="171">
        <v>14.619762926588558</v>
      </c>
      <c r="H543" s="230">
        <v>-2666.9276955632845</v>
      </c>
      <c r="I543" s="230">
        <v>2116.5857476787114</v>
      </c>
      <c r="J543" s="170">
        <v>86872.21158650173</v>
      </c>
    </row>
    <row r="544">
      <c r="A544" s="229">
        <v>43005.0</v>
      </c>
      <c r="B544" s="21">
        <v>-0.005041157710561744</v>
      </c>
      <c r="C544" s="21">
        <v>0.011613613956691266</v>
      </c>
      <c r="D544" s="159">
        <v>0.006572456246129522</v>
      </c>
      <c r="E544" s="159">
        <v>0.004543593018021097</v>
      </c>
      <c r="F544" s="232">
        <v>1003.7589286961855</v>
      </c>
      <c r="G544" s="171">
        <v>65.99511887922543</v>
      </c>
      <c r="H544" s="230">
        <v>1451.9701950309868</v>
      </c>
      <c r="I544" s="230">
        <v>2101.965984752123</v>
      </c>
      <c r="J544" s="170">
        <v>90991.109477096</v>
      </c>
    </row>
    <row r="545">
      <c r="A545" s="229">
        <v>43004.0</v>
      </c>
      <c r="B545" s="21">
        <v>-0.009601317938221488</v>
      </c>
      <c r="C545" s="21">
        <v>0.011630181166329913</v>
      </c>
      <c r="D545" s="159">
        <v>0.002028863228108425</v>
      </c>
      <c r="E545" s="159">
        <v>0.014215198629783661</v>
      </c>
      <c r="F545" s="232">
        <v>3140.3852614532034</v>
      </c>
      <c r="G545" s="171">
        <v>1.441601024036565</v>
      </c>
      <c r="H545" s="230">
        <v>448.2112663348013</v>
      </c>
      <c r="I545" s="230">
        <v>2035.9708658728975</v>
      </c>
      <c r="J545" s="170">
        <v>89987.35054839982</v>
      </c>
    </row>
    <row r="546">
      <c r="A546" s="229">
        <v>43003.0</v>
      </c>
      <c r="B546" s="21">
        <v>-0.02383313111252848</v>
      </c>
      <c r="C546" s="21">
        <v>0.011646795710853244</v>
      </c>
      <c r="D546" s="159">
        <v>-0.012186335401675236</v>
      </c>
      <c r="E546" s="159">
        <v>0.007475646147909026</v>
      </c>
      <c r="F546" s="232">
        <v>3071.164545507873</v>
      </c>
      <c r="G546" s="171">
        <v>53.29307118489122</v>
      </c>
      <c r="H546" s="230">
        <v>-2692.173995118402</v>
      </c>
      <c r="I546" s="230">
        <v>2034.529264848861</v>
      </c>
      <c r="J546" s="170">
        <v>86846.96528694661</v>
      </c>
    </row>
    <row r="547">
      <c r="A547" s="229">
        <v>43000.0</v>
      </c>
      <c r="B547" s="21">
        <v>-0.03778512645716318</v>
      </c>
      <c r="C547" s="21">
        <v>0.011696925391100817</v>
      </c>
      <c r="D547" s="159">
        <v>-0.026088201066062362</v>
      </c>
      <c r="E547" s="159">
        <v>-0.009300403512821936</v>
      </c>
      <c r="F547" s="232">
        <v>-2054.621316091881</v>
      </c>
      <c r="G547" s="171">
        <v>9.042582239145787</v>
      </c>
      <c r="H547" s="230">
        <v>-5763.338540626275</v>
      </c>
      <c r="I547" s="230">
        <v>1981.2361936639697</v>
      </c>
      <c r="J547" s="170">
        <v>83775.80074143874</v>
      </c>
    </row>
    <row r="548">
      <c r="A548" s="229">
        <v>42999.0</v>
      </c>
      <c r="B548" s="21">
        <v>-0.028501528871627307</v>
      </c>
      <c r="C548" s="21">
        <v>0.011713731318386881</v>
      </c>
      <c r="D548" s="159">
        <v>-0.016787797553240426</v>
      </c>
      <c r="E548" s="159">
        <v>0.006801447558920766</v>
      </c>
      <c r="F548" s="232">
        <v>1502.558369169035</v>
      </c>
      <c r="G548" s="171">
        <v>50.75280318711397</v>
      </c>
      <c r="H548" s="230">
        <v>-3708.717224534394</v>
      </c>
      <c r="I548" s="230">
        <v>1972.193611424824</v>
      </c>
      <c r="J548" s="170">
        <v>85830.42205753062</v>
      </c>
    </row>
    <row r="549">
      <c r="A549" s="229">
        <v>42998.0</v>
      </c>
      <c r="B549" s="21">
        <v>-0.035319830720214815</v>
      </c>
      <c r="C549" s="21">
        <v>0.011730585608053625</v>
      </c>
      <c r="D549" s="159">
        <v>-0.023589245112161192</v>
      </c>
      <c r="E549" s="159">
        <v>-0.003419816882863684</v>
      </c>
      <c r="F549" s="232">
        <v>-755.4971840711723</v>
      </c>
      <c r="G549" s="171">
        <v>49.76026123848384</v>
      </c>
      <c r="H549" s="230">
        <v>-5211.275593703429</v>
      </c>
      <c r="I549" s="230">
        <v>1921.44080823771</v>
      </c>
      <c r="J549" s="170">
        <v>84327.86368836158</v>
      </c>
    </row>
    <row r="550">
      <c r="A550" s="229">
        <v>42997.0</v>
      </c>
      <c r="B550" s="21">
        <v>-0.031916916698457844</v>
      </c>
      <c r="C550" s="21">
        <v>0.011747488469160334</v>
      </c>
      <c r="D550" s="159">
        <v>-0.020169428229297508</v>
      </c>
      <c r="E550" s="159">
        <v>-0.009845551830449148</v>
      </c>
      <c r="F550" s="232">
        <v>-2175.054085732931</v>
      </c>
      <c r="G550" s="171">
        <v>24.13119836193059</v>
      </c>
      <c r="H550" s="230">
        <v>-4455.778409632257</v>
      </c>
      <c r="I550" s="230">
        <v>1871.6805469992262</v>
      </c>
      <c r="J550" s="170">
        <v>85083.36087243275</v>
      </c>
    </row>
    <row r="551">
      <c r="A551" s="229">
        <v>42996.0</v>
      </c>
      <c r="B551" s="21">
        <v>-0.02208831651082133</v>
      </c>
      <c r="C551" s="21">
        <v>0.01176444011197297</v>
      </c>
      <c r="D551" s="159">
        <v>-0.01032387639884836</v>
      </c>
      <c r="E551" s="159">
        <v>0.0027771520681766065</v>
      </c>
      <c r="F551" s="232">
        <v>177.32100954997122</v>
      </c>
      <c r="G551" s="171">
        <v>60.19973125934899</v>
      </c>
      <c r="H551" s="230">
        <v>-2280.7243238993256</v>
      </c>
      <c r="I551" s="230">
        <v>1847.5493486372957</v>
      </c>
      <c r="J551" s="170">
        <v>87258.41495816568</v>
      </c>
    </row>
    <row r="552">
      <c r="A552" s="229">
        <v>42993.0</v>
      </c>
      <c r="B552" s="21">
        <v>-0.02542612685045192</v>
      </c>
      <c r="C552" s="21">
        <v>0.014299593082481857</v>
      </c>
      <c r="D552" s="159">
        <v>-0.011126533767970063</v>
      </c>
      <c r="E552" s="159">
        <v>0.00142940389744667</v>
      </c>
      <c r="F552" s="232">
        <v>315.7802468408845</v>
      </c>
      <c r="G552" s="171">
        <v>41.33047377633967</v>
      </c>
      <c r="H552" s="230">
        <v>-2458.045333449297</v>
      </c>
      <c r="I552" s="230">
        <v>1787.3496173779467</v>
      </c>
      <c r="J552" s="170">
        <v>87081.09394861571</v>
      </c>
    </row>
    <row r="553">
      <c r="A553" s="229">
        <v>42992.0</v>
      </c>
      <c r="B553" s="21">
        <v>-0.02686579816929984</v>
      </c>
      <c r="C553" s="21">
        <v>0.014309860503883108</v>
      </c>
      <c r="D553" s="159">
        <v>-0.012555937665416734</v>
      </c>
      <c r="E553" s="159">
        <v>0.006783376157120024</v>
      </c>
      <c r="F553" s="232">
        <v>1498.5660813827817</v>
      </c>
      <c r="G553" s="171">
        <v>27.30456502135768</v>
      </c>
      <c r="H553" s="230">
        <v>-2773.8255802901813</v>
      </c>
      <c r="I553" s="230">
        <v>1746.019143601607</v>
      </c>
      <c r="J553" s="170">
        <v>86765.31370177484</v>
      </c>
    </row>
    <row r="554">
      <c r="A554" s="229">
        <v>42991.0</v>
      </c>
      <c r="B554" s="21">
        <v>-0.03366997354226854</v>
      </c>
      <c r="C554" s="21">
        <v>0.014330659719731784</v>
      </c>
      <c r="D554" s="159">
        <v>-0.019339313822536758</v>
      </c>
      <c r="E554" s="159">
        <v>-0.005475423036336807</v>
      </c>
      <c r="F554" s="232">
        <v>-1209.616428961228</v>
      </c>
      <c r="G554" s="171">
        <v>7.386883766908636</v>
      </c>
      <c r="H554" s="230">
        <v>-4272.391661672963</v>
      </c>
      <c r="I554" s="230">
        <v>1718.7145785802495</v>
      </c>
      <c r="J554" s="170">
        <v>85266.74762039205</v>
      </c>
    </row>
    <row r="555">
      <c r="A555" s="229">
        <v>42990.0</v>
      </c>
      <c r="B555" s="21">
        <v>-0.028215410272627122</v>
      </c>
      <c r="C555" s="21">
        <v>0.014351519486427171</v>
      </c>
      <c r="D555" s="159">
        <v>-0.013863890786199951</v>
      </c>
      <c r="E555" s="159">
        <v>-0.0039425071985610995</v>
      </c>
      <c r="F555" s="232">
        <v>-870.9685894640825</v>
      </c>
      <c r="G555" s="171">
        <v>28.7409960805984</v>
      </c>
      <c r="H555" s="230">
        <v>-3062.775232711735</v>
      </c>
      <c r="I555" s="230">
        <v>1711.327694813341</v>
      </c>
      <c r="J555" s="170">
        <v>86476.36404935329</v>
      </c>
    </row>
    <row r="556">
      <c r="A556" s="229">
        <v>42989.0</v>
      </c>
      <c r="B556" s="21">
        <v>-0.024040519570049337</v>
      </c>
      <c r="C556" s="21">
        <v>0.014119135982410486</v>
      </c>
      <c r="D556" s="159">
        <v>-0.009921383587638851</v>
      </c>
      <c r="E556" s="159">
        <v>0.0035138484287708313</v>
      </c>
      <c r="F556" s="232">
        <v>776.2703922808532</v>
      </c>
      <c r="G556" s="171">
        <v>64.59916068174984</v>
      </c>
      <c r="H556" s="230">
        <v>-2191.8066432476526</v>
      </c>
      <c r="I556" s="230">
        <v>1682.5866987327424</v>
      </c>
      <c r="J556" s="170">
        <v>87347.33263881737</v>
      </c>
    </row>
    <row r="557">
      <c r="A557" s="229">
        <v>42986.0</v>
      </c>
      <c r="B557" s="21">
        <v>-0.02759565202216055</v>
      </c>
      <c r="C557" s="21">
        <v>0.014160420005750867</v>
      </c>
      <c r="D557" s="159">
        <v>-0.013435232016409683</v>
      </c>
      <c r="E557" s="159">
        <v>0.0018084130489155418</v>
      </c>
      <c r="F557" s="232">
        <v>399.5099775486183</v>
      </c>
      <c r="G557" s="171">
        <v>13.469833222342803</v>
      </c>
      <c r="H557" s="230">
        <v>-2968.077035528506</v>
      </c>
      <c r="I557" s="230">
        <v>1617.9875380509925</v>
      </c>
      <c r="J557" s="170">
        <v>86571.06224653652</v>
      </c>
    </row>
    <row r="558">
      <c r="A558" s="229">
        <v>42985.0</v>
      </c>
      <c r="B558" s="21">
        <v>-0.02944559122945073</v>
      </c>
      <c r="C558" s="21">
        <v>0.014201946164125505</v>
      </c>
      <c r="D558" s="159">
        <v>-0.015243645065325225</v>
      </c>
      <c r="E558" s="159">
        <v>-0.010091403576283232</v>
      </c>
      <c r="F558" s="232">
        <v>-2229.3670235417812</v>
      </c>
      <c r="G558" s="171">
        <v>68.25729283604915</v>
      </c>
      <c r="H558" s="230">
        <v>-3367.587013077124</v>
      </c>
      <c r="I558" s="230">
        <v>1604.5177048286496</v>
      </c>
      <c r="J558" s="170">
        <v>86171.5522689879</v>
      </c>
    </row>
    <row r="559">
      <c r="A559" s="229">
        <v>42984.0</v>
      </c>
      <c r="B559" s="21">
        <v>-0.019375042199664013</v>
      </c>
      <c r="C559" s="21">
        <v>0.01422280071062202</v>
      </c>
      <c r="D559" s="159">
        <v>-0.005152241489041993</v>
      </c>
      <c r="E559" s="159">
        <v>0.009366204882141592</v>
      </c>
      <c r="F559" s="232">
        <v>2069.157986016558</v>
      </c>
      <c r="G559" s="171">
        <v>55.089966944457444</v>
      </c>
      <c r="H559" s="230">
        <v>-1138.2199895353428</v>
      </c>
      <c r="I559" s="230">
        <v>1536.2604119926004</v>
      </c>
      <c r="J559" s="170">
        <v>88400.91929252968</v>
      </c>
    </row>
    <row r="560">
      <c r="A560" s="229">
        <v>42983.0</v>
      </c>
      <c r="B560" s="21">
        <v>-0.028762162965203578</v>
      </c>
      <c r="C560" s="21">
        <v>0.014243716594019993</v>
      </c>
      <c r="D560" s="159">
        <v>-0.014518446371183585</v>
      </c>
      <c r="E560" s="159">
        <v>0.005103166523763768</v>
      </c>
      <c r="F560" s="232">
        <v>1127.3784739378634</v>
      </c>
      <c r="G560" s="171">
        <v>28.993959374918738</v>
      </c>
      <c r="H560" s="230">
        <v>-3207.377975551901</v>
      </c>
      <c r="I560" s="230">
        <v>1481.170445048143</v>
      </c>
      <c r="J560" s="170">
        <v>86331.76130651313</v>
      </c>
    </row>
    <row r="561">
      <c r="A561" s="229">
        <v>42982.0</v>
      </c>
      <c r="B561" s="21">
        <v>-0.03393057392622646</v>
      </c>
      <c r="C561" s="21">
        <v>0.01430896103127911</v>
      </c>
      <c r="D561" s="159">
        <v>-0.019621612894947352</v>
      </c>
      <c r="E561" s="159">
        <v>-0.00857694929468882</v>
      </c>
      <c r="F561" s="232">
        <v>-3195.2873251372193</v>
      </c>
      <c r="G561" s="171">
        <v>57.302306258371836</v>
      </c>
      <c r="H561" s="230">
        <v>-4334.756449489764</v>
      </c>
      <c r="I561" s="230">
        <v>1452.1764856732243</v>
      </c>
      <c r="J561" s="170">
        <v>85204.38283257527</v>
      </c>
    </row>
    <row r="562">
      <c r="A562" s="229">
        <v>42979.0</v>
      </c>
      <c r="B562" s="21">
        <v>-0.0205373484600852</v>
      </c>
      <c r="C562" s="21">
        <v>0.015379452664942658</v>
      </c>
      <c r="D562" s="159">
        <v>-0.005157895795142541</v>
      </c>
      <c r="E562" s="159">
        <v>0.005224007494245642</v>
      </c>
      <c r="F562" s="232">
        <v>1154.0743515379047</v>
      </c>
      <c r="G562" s="171">
        <v>41.361886832541124</v>
      </c>
      <c r="H562" s="230">
        <v>-1139.4691243525451</v>
      </c>
      <c r="I562" s="230">
        <v>1394.8741794148525</v>
      </c>
      <c r="J562" s="170">
        <v>88399.67015771249</v>
      </c>
    </row>
    <row r="563">
      <c r="A563" s="229">
        <v>42978.0</v>
      </c>
      <c r="B563" s="21">
        <v>-0.02578414032864927</v>
      </c>
      <c r="C563" s="21">
        <v>0.015402237039261088</v>
      </c>
      <c r="D563" s="159">
        <v>-0.010381903289388183</v>
      </c>
      <c r="E563" s="159">
        <v>0.008910021021897406</v>
      </c>
      <c r="F563" s="232">
        <v>1968.3790163704994</v>
      </c>
      <c r="G563" s="171">
        <v>9.333347852668101</v>
      </c>
      <c r="H563" s="230">
        <v>-2293.54347589045</v>
      </c>
      <c r="I563" s="230">
        <v>1353.5122925823114</v>
      </c>
      <c r="J563" s="170">
        <v>87245.59580617459</v>
      </c>
    </row>
    <row r="564">
      <c r="A564" s="229">
        <v>42977.0</v>
      </c>
      <c r="B564" s="21">
        <v>-0.03471701333428446</v>
      </c>
      <c r="C564" s="21">
        <v>0.01542508902299887</v>
      </c>
      <c r="D564" s="159">
        <v>-0.01929192431128559</v>
      </c>
      <c r="E564" s="159">
        <v>0.020529354797948422</v>
      </c>
      <c r="F564" s="232">
        <v>4535.292465034095</v>
      </c>
      <c r="G564" s="171">
        <v>35.18274462898133</v>
      </c>
      <c r="H564" s="230">
        <v>-4261.922492260949</v>
      </c>
      <c r="I564" s="230">
        <v>1344.1789447296433</v>
      </c>
      <c r="J564" s="170">
        <v>85277.2167898041</v>
      </c>
    </row>
    <row r="565">
      <c r="A565" s="229">
        <v>42976.0</v>
      </c>
      <c r="B565" s="21">
        <v>-0.05526928802676928</v>
      </c>
      <c r="C565" s="21">
        <v>0.01544800891753527</v>
      </c>
      <c r="D565" s="159">
        <v>-0.03982127910923401</v>
      </c>
      <c r="E565" s="159">
        <v>-0.016815967025198015</v>
      </c>
      <c r="F565" s="232">
        <v>-3714.9449572950434</v>
      </c>
      <c r="G565" s="171">
        <v>40.262176160581404</v>
      </c>
      <c r="H565" s="230">
        <v>-8797.214957295044</v>
      </c>
      <c r="I565" s="230">
        <v>1308.996200100662</v>
      </c>
      <c r="J565" s="170">
        <v>80741.92432476999</v>
      </c>
    </row>
    <row r="566">
      <c r="A566" s="229">
        <v>42975.0</v>
      </c>
      <c r="B566" s="21">
        <v>-0.0385</v>
      </c>
      <c r="C566" s="21">
        <v>0.0155</v>
      </c>
      <c r="D566" s="21">
        <v>-0.023</v>
      </c>
      <c r="E566" s="21">
        <v>-0.0025</v>
      </c>
      <c r="F566" s="232">
        <v>-2446.4911963944896</v>
      </c>
      <c r="G566" s="171">
        <v>29.827108413547254</v>
      </c>
      <c r="H566" s="230">
        <v>-5082.27</v>
      </c>
      <c r="I566" s="230">
        <v>1268.7340239400805</v>
      </c>
      <c r="J566" s="170">
        <v>84456.86928206503</v>
      </c>
    </row>
    <row r="567">
      <c r="A567" s="229">
        <v>42972.0</v>
      </c>
      <c r="B567" s="21">
        <v>-0.0274714318664925</v>
      </c>
      <c r="C567" s="21">
        <v>0.015540373694321732</v>
      </c>
      <c r="D567" s="159">
        <v>-0.011931058172170769</v>
      </c>
      <c r="E567" s="159">
        <v>-0.005478588054237194</v>
      </c>
      <c r="F567" s="232">
        <v>-1210.3156366068945</v>
      </c>
      <c r="G567" s="171">
        <v>2.5207632335739105</v>
      </c>
      <c r="H567" s="230">
        <v>-2635.778803605511</v>
      </c>
      <c r="I567" s="230">
        <v>1238.9069155265333</v>
      </c>
      <c r="J567" s="170">
        <v>86903.36047845952</v>
      </c>
    </row>
    <row r="568">
      <c r="A568" s="229">
        <v>42971.0</v>
      </c>
      <c r="B568" s="21">
        <v>-0.02201610784473183</v>
      </c>
      <c r="C568" s="21">
        <v>0.015563637726798255</v>
      </c>
      <c r="D568" s="159">
        <v>-0.0064524701179335744</v>
      </c>
      <c r="E568" s="159">
        <v>0.006591293400784723</v>
      </c>
      <c r="F568" s="232">
        <v>1456.1316509759615</v>
      </c>
      <c r="G568" s="171">
        <v>15.650172623606855</v>
      </c>
      <c r="H568" s="230">
        <v>-1425.4631669986163</v>
      </c>
      <c r="I568" s="230">
        <v>1236.3861522929594</v>
      </c>
      <c r="J568" s="170">
        <v>88113.67611506642</v>
      </c>
    </row>
    <row r="569">
      <c r="A569" s="229">
        <v>42970.0</v>
      </c>
      <c r="B569" s="21">
        <v>-0.0286307350352119</v>
      </c>
      <c r="C569" s="21">
        <v>0.015586971516493603</v>
      </c>
      <c r="D569" s="159">
        <v>-0.013043763518718297</v>
      </c>
      <c r="E569" s="159">
        <v>-0.004667258772576182</v>
      </c>
      <c r="F569" s="232">
        <v>-1031.0788503564847</v>
      </c>
      <c r="G569" s="171">
        <v>18.211264944743704</v>
      </c>
      <c r="H569" s="230">
        <v>-2881.594817974578</v>
      </c>
      <c r="I569" s="230">
        <v>1220.7359796693527</v>
      </c>
      <c r="J569" s="170">
        <v>86657.54446409046</v>
      </c>
    </row>
    <row r="570">
      <c r="A570" s="229">
        <v>42969.0</v>
      </c>
      <c r="B570" s="21">
        <v>-0.023986880123771603</v>
      </c>
      <c r="C570" s="21">
        <v>0.015610375377629488</v>
      </c>
      <c r="D570" s="159">
        <v>-0.008376504746142115</v>
      </c>
      <c r="E570" s="159">
        <v>0.0013694825134972066</v>
      </c>
      <c r="F570" s="232">
        <v>302.54256821946115</v>
      </c>
      <c r="G570" s="171">
        <v>48.071952591627586</v>
      </c>
      <c r="H570" s="230">
        <v>-1850.515967618093</v>
      </c>
      <c r="I570" s="230">
        <v>1202.5247147246089</v>
      </c>
      <c r="J570" s="170">
        <v>87688.62331444694</v>
      </c>
    </row>
    <row r="571">
      <c r="A571" s="229">
        <v>42968.0</v>
      </c>
      <c r="B571" s="21">
        <v>-0.025379836885956974</v>
      </c>
      <c r="C571" s="21">
        <v>0.015633849626317652</v>
      </c>
      <c r="D571" s="159">
        <v>-0.009745987259639322</v>
      </c>
      <c r="E571" s="159">
        <v>-9.063927029613027E-4</v>
      </c>
      <c r="F571" s="232">
        <v>6.501982262656384</v>
      </c>
      <c r="G571" s="171">
        <v>20.850547371342923</v>
      </c>
      <c r="H571" s="230">
        <v>-2153.0585358375542</v>
      </c>
      <c r="I571" s="230">
        <v>1154.4527621329812</v>
      </c>
      <c r="J571" s="170">
        <v>87386.08074622748</v>
      </c>
    </row>
    <row r="572">
      <c r="A572" s="229">
        <v>42965.0</v>
      </c>
      <c r="B572" s="21">
        <v>-0.025480116876542957</v>
      </c>
      <c r="C572" s="21">
        <v>0.015704697887464102</v>
      </c>
      <c r="D572" s="159">
        <v>-0.009775418989078855</v>
      </c>
      <c r="E572" s="159">
        <v>-0.0013919209508863536</v>
      </c>
      <c r="F572" s="232">
        <v>-307.4996103194062</v>
      </c>
      <c r="G572" s="171">
        <v>5.470832057708124</v>
      </c>
      <c r="H572" s="230">
        <v>-2159.5605181002106</v>
      </c>
      <c r="I572" s="230">
        <v>1133.6022147616384</v>
      </c>
      <c r="J572" s="170">
        <v>87379.57876396482</v>
      </c>
    </row>
    <row r="573">
      <c r="A573" s="229">
        <v>42964.0</v>
      </c>
      <c r="B573" s="21">
        <v>-0.02411195492397349</v>
      </c>
      <c r="C573" s="21">
        <v>0.01572845688578099</v>
      </c>
      <c r="D573" s="159">
        <v>-0.008383498038192501</v>
      </c>
      <c r="E573" s="159">
        <v>0.0016692303781945667</v>
      </c>
      <c r="F573" s="232">
        <v>368.76209852383545</v>
      </c>
      <c r="G573" s="171">
        <v>22.474894739395307</v>
      </c>
      <c r="H573" s="230">
        <v>-1852.0609077808044</v>
      </c>
      <c r="I573" s="230">
        <v>1128.1313827039303</v>
      </c>
      <c r="J573" s="170">
        <v>87687.07837428423</v>
      </c>
    </row>
    <row r="574">
      <c r="A574" s="229">
        <v>42963.0</v>
      </c>
      <c r="B574" s="21">
        <v>-0.02580501629744955</v>
      </c>
      <c r="C574" s="21">
        <v>0.015752287881062484</v>
      </c>
      <c r="D574" s="159">
        <v>-0.010052728416387068</v>
      </c>
      <c r="E574" s="159">
        <v>-0.001479772854131249</v>
      </c>
      <c r="F574" s="232">
        <v>-326.90762770460424</v>
      </c>
      <c r="G574" s="171">
        <v>27.340771032122696</v>
      </c>
      <c r="H574" s="230">
        <v>-2220.82300630464</v>
      </c>
      <c r="I574" s="230">
        <v>1105.656487964535</v>
      </c>
      <c r="J574" s="170">
        <v>87318.3162757604</v>
      </c>
    </row>
    <row r="575">
      <c r="A575" s="229">
        <v>42962.0</v>
      </c>
      <c r="B575" s="21">
        <v>-0.024108729877847415</v>
      </c>
      <c r="C575" s="21">
        <v>0.015535774315591597</v>
      </c>
      <c r="D575" s="159">
        <v>-0.008572955562255818</v>
      </c>
      <c r="E575" s="159">
        <v>0.0037456022942180655</v>
      </c>
      <c r="F575" s="232">
        <v>827.4688624739065</v>
      </c>
      <c r="G575" s="171">
        <v>1.199494158488028</v>
      </c>
      <c r="H575" s="230">
        <v>-1893.9153786000356</v>
      </c>
      <c r="I575" s="230">
        <v>1078.3157169324122</v>
      </c>
      <c r="J575" s="170">
        <v>87645.223903465</v>
      </c>
    </row>
    <row r="576">
      <c r="A576" s="229">
        <v>42961.0</v>
      </c>
      <c r="B576" s="21">
        <v>-0.0278779427713293</v>
      </c>
      <c r="C576" s="21">
        <v>0.015559384914855414</v>
      </c>
      <c r="D576" s="159">
        <v>-0.012318557856473884</v>
      </c>
      <c r="E576" s="159">
        <v>0.003609398234019649</v>
      </c>
      <c r="F576" s="232">
        <v>-198.35499568639852</v>
      </c>
      <c r="G576" s="171">
        <v>34.69969735002001</v>
      </c>
      <c r="H576" s="230">
        <v>-2721.384241073942</v>
      </c>
      <c r="I576" s="230">
        <v>1077.1162227739242</v>
      </c>
      <c r="J576" s="170">
        <v>86817.75504099109</v>
      </c>
    </row>
    <row r="577">
      <c r="A577" s="229">
        <v>42958.0</v>
      </c>
      <c r="B577" s="21">
        <v>-0.027051337783080123</v>
      </c>
      <c r="C577" s="21">
        <v>0.015630649273244063</v>
      </c>
      <c r="D577" s="159">
        <v>-0.01142068850983606</v>
      </c>
      <c r="E577" s="159">
        <v>6.317837995595231E-4</v>
      </c>
      <c r="F577" s="232">
        <v>139.5720583463858</v>
      </c>
      <c r="G577" s="171">
        <v>31.028697467584234</v>
      </c>
      <c r="H577" s="230">
        <v>-2523.0292453875436</v>
      </c>
      <c r="I577" s="230">
        <v>1042.4165254239042</v>
      </c>
      <c r="J577" s="170">
        <v>87016.11003667749</v>
      </c>
    </row>
    <row r="578">
      <c r="A578" s="229">
        <v>42957.0</v>
      </c>
      <c r="B578" s="21">
        <v>-0.027707021657981005</v>
      </c>
      <c r="C578" s="21">
        <v>0.01565454934858542</v>
      </c>
      <c r="D578" s="159">
        <v>-0.012052472309395584</v>
      </c>
      <c r="E578" s="159">
        <v>0.004707183930787357</v>
      </c>
      <c r="F578" s="232">
        <v>1039.8990140188384</v>
      </c>
      <c r="G578" s="171">
        <v>24.152656929773116</v>
      </c>
      <c r="H578" s="230">
        <v>-2662.6013037339294</v>
      </c>
      <c r="I578" s="230">
        <v>1011.3878279563199</v>
      </c>
      <c r="J578" s="170">
        <v>86876.53797833111</v>
      </c>
    </row>
    <row r="579">
      <c r="A579" s="229">
        <v>42956.0</v>
      </c>
      <c r="B579" s="21">
        <v>-0.03243817886495302</v>
      </c>
      <c r="C579" s="21">
        <v>0.015678522624770076</v>
      </c>
      <c r="D579" s="159">
        <v>-0.01675965624018294</v>
      </c>
      <c r="E579" s="159">
        <v>0.0050199695282302885</v>
      </c>
      <c r="F579" s="232">
        <v>1108.9988068382345</v>
      </c>
      <c r="G579" s="171">
        <v>69.37440883942485</v>
      </c>
      <c r="H579" s="230">
        <v>-3702.500317752768</v>
      </c>
      <c r="I579" s="230">
        <v>987.2351710265468</v>
      </c>
      <c r="J579" s="170">
        <v>85836.63896431227</v>
      </c>
    </row>
    <row r="580">
      <c r="A580" s="229">
        <v>42955.0</v>
      </c>
      <c r="B580" s="21">
        <v>-0.03748219520702498</v>
      </c>
      <c r="C580" s="21">
        <v>0.015702569438611754</v>
      </c>
      <c r="D580" s="159">
        <v>-0.02177962576841323</v>
      </c>
      <c r="E580" s="159">
        <v>4.908042170510829E-4</v>
      </c>
      <c r="F580" s="232">
        <v>108.42721017326767</v>
      </c>
      <c r="G580" s="171">
        <v>24.399842652101363</v>
      </c>
      <c r="H580" s="230">
        <v>-4811.499124591002</v>
      </c>
      <c r="I580" s="230">
        <v>917.860762187122</v>
      </c>
      <c r="J580" s="170">
        <v>84727.64015747403</v>
      </c>
    </row>
    <row r="581">
      <c r="A581" s="229">
        <v>42954.0</v>
      </c>
      <c r="B581" s="21">
        <v>-0.03799712011445796</v>
      </c>
      <c r="C581" s="21">
        <v>0.015726690128993647</v>
      </c>
      <c r="D581" s="159">
        <v>-0.022270429985464312</v>
      </c>
      <c r="E581" s="159">
        <v>-0.004006345582967183</v>
      </c>
      <c r="F581" s="232">
        <v>328.30820272172605</v>
      </c>
      <c r="G581" s="171">
        <v>42.999726653623426</v>
      </c>
      <c r="H581" s="230">
        <v>-4919.92633476427</v>
      </c>
      <c r="I581" s="230">
        <v>893.4609195350206</v>
      </c>
      <c r="J581" s="170">
        <v>84619.21294730077</v>
      </c>
    </row>
    <row r="582">
      <c r="A582" s="229">
        <v>42951.0</v>
      </c>
      <c r="B582" s="21">
        <v>-0.03955604153115428</v>
      </c>
      <c r="C582" s="21">
        <v>0.015799498879590843</v>
      </c>
      <c r="D582" s="159">
        <v>-0.023756542651563437</v>
      </c>
      <c r="E582" s="159">
        <v>0.00547411030483827</v>
      </c>
      <c r="F582" s="232">
        <v>1209.3264236818359</v>
      </c>
      <c r="G582" s="171">
        <v>31.397351180267716</v>
      </c>
      <c r="H582" s="230">
        <v>-5248.234537485996</v>
      </c>
      <c r="I582" s="230">
        <v>850.4611928813972</v>
      </c>
      <c r="J582" s="170">
        <v>84290.90474457903</v>
      </c>
    </row>
    <row r="583">
      <c r="A583" s="229">
        <v>42950.0</v>
      </c>
      <c r="B583" s="21">
        <v>-0.04505457146331804</v>
      </c>
      <c r="C583" s="21">
        <v>0.01582391850691633</v>
      </c>
      <c r="D583" s="159">
        <v>-0.029230652956401707</v>
      </c>
      <c r="E583" s="159">
        <v>1.3922963888161888E-4</v>
      </c>
      <c r="F583" s="232">
        <v>30.758255110497885</v>
      </c>
      <c r="G583" s="171">
        <v>21.320775511560612</v>
      </c>
      <c r="H583" s="230">
        <v>-6457.560961167832</v>
      </c>
      <c r="I583" s="230">
        <v>819.0638417011295</v>
      </c>
      <c r="J583" s="170">
        <v>83081.5783208972</v>
      </c>
    </row>
    <row r="584">
      <c r="A584" s="229">
        <v>42949.0</v>
      </c>
      <c r="B584" s="21">
        <v>-0.0462189676339003</v>
      </c>
      <c r="C584" s="21">
        <v>0.016849085038616974</v>
      </c>
      <c r="D584" s="159">
        <v>-0.029369882595283326</v>
      </c>
      <c r="E584" s="159">
        <v>0.002228795114089962</v>
      </c>
      <c r="F584" s="232">
        <v>492.37970635332204</v>
      </c>
      <c r="G584" s="171">
        <v>53.35669228845551</v>
      </c>
      <c r="H584" s="230">
        <v>-6488.31921627833</v>
      </c>
      <c r="I584" s="230">
        <v>797.7430661895689</v>
      </c>
      <c r="J584" s="170">
        <v>83050.8200657867</v>
      </c>
    </row>
    <row r="585">
      <c r="A585" s="229">
        <v>42948.0</v>
      </c>
      <c r="B585" s="21">
        <v>-0.04847388536045323</v>
      </c>
      <c r="C585" s="21">
        <v>0.016875207651079947</v>
      </c>
      <c r="D585" s="159">
        <v>-0.03159867770937329</v>
      </c>
      <c r="E585" s="159">
        <v>-0.009810537912870298</v>
      </c>
      <c r="F585" s="232">
        <v>-2167.3189007682986</v>
      </c>
      <c r="G585" s="171">
        <v>52.747450956268686</v>
      </c>
      <c r="H585" s="230">
        <v>-6980.698922631652</v>
      </c>
      <c r="I585" s="230">
        <v>744.3863739011134</v>
      </c>
      <c r="J585" s="170">
        <v>82558.44035943337</v>
      </c>
    </row>
    <row r="586">
      <c r="A586" s="229">
        <v>42947.0</v>
      </c>
      <c r="B586" s="21">
        <v>-0.03868955118617156</v>
      </c>
      <c r="C586" s="21">
        <v>0.01690141138966857</v>
      </c>
      <c r="D586" s="159">
        <v>-0.02178813979650299</v>
      </c>
      <c r="E586" s="159">
        <v>0.004505988493791118</v>
      </c>
      <c r="F586" s="232">
        <v>1149.0019753765637</v>
      </c>
      <c r="G586" s="171">
        <v>59.80562505401783</v>
      </c>
      <c r="H586" s="230">
        <v>-4813.380021863353</v>
      </c>
      <c r="I586" s="230">
        <v>691.6389229448447</v>
      </c>
      <c r="J586" s="170">
        <v>84725.75926020167</v>
      </c>
    </row>
    <row r="587">
      <c r="A587" s="229">
        <v>42944.0</v>
      </c>
      <c r="B587" s="21">
        <v>-0.04396969994378509</v>
      </c>
      <c r="C587" s="21">
        <v>0.016980513159043</v>
      </c>
      <c r="D587" s="159">
        <v>-0.026989186784742093</v>
      </c>
      <c r="E587" s="159">
        <v>-0.0034925926245251183</v>
      </c>
      <c r="F587" s="232">
        <v>-771.5746144650084</v>
      </c>
      <c r="G587" s="171">
        <v>32.31874335679391</v>
      </c>
      <c r="H587" s="230">
        <v>-5962.381997239917</v>
      </c>
      <c r="I587" s="230">
        <v>631.8332978908269</v>
      </c>
      <c r="J587" s="170">
        <v>83576.7572848251</v>
      </c>
    </row>
    <row r="588">
      <c r="A588" s="229">
        <v>42943.0</v>
      </c>
      <c r="B588" s="21">
        <v>-0.04050363937107098</v>
      </c>
      <c r="C588" s="21">
        <v>0.017007045210854006</v>
      </c>
      <c r="D588" s="159">
        <v>-0.023496594160216974</v>
      </c>
      <c r="E588" s="159">
        <v>-0.0090262904827909</v>
      </c>
      <c r="F588" s="232">
        <v>-1994.0649677846432</v>
      </c>
      <c r="G588" s="171">
        <v>10.994838358635224</v>
      </c>
      <c r="H588" s="230">
        <v>-5190.807382774909</v>
      </c>
      <c r="I588" s="230">
        <v>599.514554534033</v>
      </c>
      <c r="J588" s="170">
        <v>84348.3318992901</v>
      </c>
    </row>
    <row r="589">
      <c r="A589" s="229">
        <v>42942.0</v>
      </c>
      <c r="B589" s="21">
        <v>-0.03150396398250676</v>
      </c>
      <c r="C589" s="21">
        <v>0.017033660305080685</v>
      </c>
      <c r="D589" s="159">
        <v>-0.014470303677426074</v>
      </c>
      <c r="E589" s="159">
        <v>-0.008457639190101934</v>
      </c>
      <c r="F589" s="232">
        <v>-1868.4399811083988</v>
      </c>
      <c r="G589" s="171">
        <v>13.803857248999577</v>
      </c>
      <c r="H589" s="230">
        <v>-3196.7424149902654</v>
      </c>
      <c r="I589" s="230">
        <v>588.5197161753978</v>
      </c>
      <c r="J589" s="170">
        <v>86342.39686707474</v>
      </c>
    </row>
    <row r="590">
      <c r="A590" s="229">
        <v>42941.0</v>
      </c>
      <c r="B590" s="21">
        <v>-0.02307302331952878</v>
      </c>
      <c r="C590" s="21">
        <v>0.01706035883220464</v>
      </c>
      <c r="D590" s="159">
        <v>-0.00601266448732414</v>
      </c>
      <c r="E590" s="159">
        <v>-0.003620116118165144</v>
      </c>
      <c r="F590" s="232">
        <v>-799.7467779602893</v>
      </c>
      <c r="G590" s="171">
        <v>3.957657346163994</v>
      </c>
      <c r="H590" s="230">
        <v>-1328.3024338818666</v>
      </c>
      <c r="I590" s="230">
        <v>574.7158589263981</v>
      </c>
      <c r="J590" s="170">
        <v>88210.83684818314</v>
      </c>
    </row>
    <row r="591">
      <c r="A591" s="229">
        <v>42940.0</v>
      </c>
      <c r="B591" s="21">
        <v>-0.019452907201363636</v>
      </c>
      <c r="C591" s="21">
        <v>0.01706035883220464</v>
      </c>
      <c r="D591" s="159">
        <v>-0.0023925483691589963</v>
      </c>
      <c r="E591" s="159">
        <v>0.0011853469138786432</v>
      </c>
      <c r="F591" s="232">
        <v>783.502565593816</v>
      </c>
      <c r="G591" s="171">
        <v>39.92904728461744</v>
      </c>
      <c r="H591" s="230">
        <v>-528.5556559215773</v>
      </c>
      <c r="I591" s="230">
        <v>570.7582015802342</v>
      </c>
      <c r="J591" s="170">
        <v>89010.58362614343</v>
      </c>
    </row>
    <row r="592">
      <c r="A592" s="229">
        <v>42937.0</v>
      </c>
      <c r="B592" s="21">
        <v>-0.02289786917049772</v>
      </c>
      <c r="C592" s="21">
        <v>0.0169587353764322</v>
      </c>
      <c r="D592" s="159">
        <v>-0.005939133794065521</v>
      </c>
      <c r="E592" s="159">
        <v>-0.015933069157182768</v>
      </c>
      <c r="F592" s="232">
        <v>-3519.892817121534</v>
      </c>
      <c r="G592" s="171">
        <v>3.9177705838284806</v>
      </c>
      <c r="H592" s="230">
        <v>-1312.0582215153934</v>
      </c>
      <c r="I592" s="230">
        <v>530.8291542956167</v>
      </c>
      <c r="J592" s="170">
        <v>88227.08106054961</v>
      </c>
    </row>
    <row r="593">
      <c r="A593" s="229">
        <v>42936.0</v>
      </c>
      <c r="B593" s="21">
        <v>-0.006964800013314953</v>
      </c>
      <c r="C593" s="21">
        <v>0.0169587353764322</v>
      </c>
      <c r="D593" s="159">
        <v>0.009993935363117247</v>
      </c>
      <c r="E593" s="159">
        <v>0.006786519207945646</v>
      </c>
      <c r="F593" s="232">
        <v>1499.2604361185718</v>
      </c>
      <c r="G593" s="171">
        <v>47.903083129353966</v>
      </c>
      <c r="H593" s="230">
        <v>2207.8345956061403</v>
      </c>
      <c r="I593" s="230">
        <v>526.9113837117883</v>
      </c>
      <c r="J593" s="170">
        <v>91746.97387767115</v>
      </c>
    </row>
    <row r="594">
      <c r="A594" s="229">
        <v>42935.0</v>
      </c>
      <c r="B594" s="21">
        <v>-0.0137513192212606</v>
      </c>
      <c r="C594" s="21">
        <v>0.0169587353764322</v>
      </c>
      <c r="D594" s="159">
        <v>0.0032074161551716007</v>
      </c>
      <c r="E594" s="159">
        <v>0.008605436556728989</v>
      </c>
      <c r="F594" s="232">
        <v>1901.0909966815989</v>
      </c>
      <c r="G594" s="171">
        <v>61.865958873704415</v>
      </c>
      <c r="H594" s="230">
        <v>708.5741594875686</v>
      </c>
      <c r="I594" s="230">
        <v>479.00830058243434</v>
      </c>
      <c r="J594" s="170">
        <v>90247.71344155258</v>
      </c>
    </row>
    <row r="595">
      <c r="A595" s="229">
        <v>42934.0</v>
      </c>
      <c r="B595" s="21">
        <v>-0.02235675577798959</v>
      </c>
      <c r="C595" s="21">
        <v>0.0169587353764322</v>
      </c>
      <c r="D595" s="159">
        <v>-0.005398020401557388</v>
      </c>
      <c r="E595" s="159">
        <v>-0.006123281804687648</v>
      </c>
      <c r="F595" s="232">
        <v>-1352.7397282283569</v>
      </c>
      <c r="G595" s="171">
        <v>63.121469118479794</v>
      </c>
      <c r="H595" s="230">
        <v>-1192.5168371940301</v>
      </c>
      <c r="I595" s="230">
        <v>417.14234170872993</v>
      </c>
      <c r="J595" s="170">
        <v>88346.62244487098</v>
      </c>
    </row>
    <row r="596">
      <c r="A596" s="229">
        <v>42933.0</v>
      </c>
      <c r="B596" s="21">
        <v>-0.01623347397330194</v>
      </c>
      <c r="C596" s="21">
        <v>0.0169587353764322</v>
      </c>
      <c r="D596" s="159">
        <v>7.252614031302597E-4</v>
      </c>
      <c r="E596" s="159">
        <v>0.003177646629622735</v>
      </c>
      <c r="F596" s="232">
        <v>318.30154470619095</v>
      </c>
      <c r="G596" s="171">
        <v>48.83269324609642</v>
      </c>
      <c r="H596" s="230">
        <v>160.2228910343267</v>
      </c>
      <c r="I596" s="230">
        <v>354.0208725902501</v>
      </c>
      <c r="J596" s="170">
        <v>89699.36217309935</v>
      </c>
    </row>
    <row r="597">
      <c r="A597" s="229">
        <v>42930.0</v>
      </c>
      <c r="B597" s="21">
        <v>-0.017674290722031576</v>
      </c>
      <c r="C597" s="21">
        <v>0.0169587353764322</v>
      </c>
      <c r="D597" s="159">
        <v>-7.155553455993752E-4</v>
      </c>
      <c r="E597" s="159">
        <v>-0.00714203961709879</v>
      </c>
      <c r="F597" s="232">
        <v>-1577.8010940528982</v>
      </c>
      <c r="G597" s="171">
        <v>0.21964076523191656</v>
      </c>
      <c r="H597" s="230">
        <v>-158.0786536718643</v>
      </c>
      <c r="I597" s="230">
        <v>305.1881793441537</v>
      </c>
      <c r="J597" s="170">
        <v>89381.06062839316</v>
      </c>
    </row>
    <row r="598">
      <c r="A598" s="229">
        <v>42929.0</v>
      </c>
      <c r="B598" s="21">
        <v>-0.010532251104932786</v>
      </c>
      <c r="C598" s="21">
        <v>0.0169587353764322</v>
      </c>
      <c r="D598" s="159">
        <v>0.006426484271499415</v>
      </c>
      <c r="E598" s="159">
        <v>0.01668091788574142</v>
      </c>
      <c r="F598" s="232">
        <v>3685.10564221998</v>
      </c>
      <c r="G598" s="171">
        <v>50.47996263023985</v>
      </c>
      <c r="H598" s="230">
        <v>1419.722440381034</v>
      </c>
      <c r="I598" s="230">
        <v>304.96853857892177</v>
      </c>
      <c r="J598" s="170">
        <v>90958.86172244605</v>
      </c>
    </row>
    <row r="599">
      <c r="A599" s="229">
        <v>42928.0</v>
      </c>
      <c r="B599" s="21">
        <v>-0.02721316899067421</v>
      </c>
      <c r="C599" s="21">
        <v>0.0169587353764322</v>
      </c>
      <c r="D599" s="159">
        <v>-0.010254433614242008</v>
      </c>
      <c r="E599" s="159">
        <v>-0.005060844887564326</v>
      </c>
      <c r="F599" s="232">
        <v>-1118.0288864982026</v>
      </c>
      <c r="G599" s="171">
        <v>42.62574766395087</v>
      </c>
      <c r="H599" s="230">
        <v>-2265.3832018389458</v>
      </c>
      <c r="I599" s="230">
        <v>254.48857594868193</v>
      </c>
      <c r="J599" s="170">
        <v>87273.75608022607</v>
      </c>
    </row>
    <row r="600">
      <c r="A600" s="229">
        <v>42927.0</v>
      </c>
      <c r="B600" s="21">
        <v>-0.022181104127751584</v>
      </c>
      <c r="C600" s="21">
        <v>0.0169875154010739</v>
      </c>
      <c r="D600" s="159">
        <v>-0.005193588726677682</v>
      </c>
      <c r="E600" s="159">
        <v>2.3996731018824033E-4</v>
      </c>
      <c r="F600" s="232">
        <v>53.01296336210157</v>
      </c>
      <c r="G600" s="171">
        <v>63.40183868553957</v>
      </c>
      <c r="H600" s="230">
        <v>-1147.3543153407431</v>
      </c>
      <c r="I600" s="230">
        <v>211.86282828473105</v>
      </c>
      <c r="J600" s="170">
        <v>88391.78496672427</v>
      </c>
    </row>
    <row r="601">
      <c r="A601" s="229">
        <v>42926.0</v>
      </c>
      <c r="B601" s="21">
        <v>-0.02244994385431392</v>
      </c>
      <c r="C601" s="21">
        <v>0.017016387817448</v>
      </c>
      <c r="D601" s="159">
        <v>-0.005433556036865923</v>
      </c>
      <c r="E601" s="159">
        <v>9.921801330867383E-4</v>
      </c>
      <c r="F601" s="232">
        <v>-63.93897323475517</v>
      </c>
      <c r="G601" s="171">
        <v>8.760502801849738</v>
      </c>
      <c r="H601" s="230">
        <v>-1200.3672787028447</v>
      </c>
      <c r="I601" s="230">
        <v>148.46098959919146</v>
      </c>
      <c r="J601" s="170">
        <v>88338.77200336217</v>
      </c>
    </row>
    <row r="602">
      <c r="A602" s="229">
        <v>42923.0</v>
      </c>
      <c r="B602" s="21">
        <v>-0.021107158246345275</v>
      </c>
      <c r="C602" s="21">
        <v>0.0159630269548674</v>
      </c>
      <c r="D602" s="159">
        <v>-0.005144131291477876</v>
      </c>
      <c r="E602" s="159">
        <v>-0.020592649657801478</v>
      </c>
      <c r="F602" s="232">
        <v>-4549.275403309175</v>
      </c>
      <c r="G602" s="171">
        <v>1.2074260908759182</v>
      </c>
      <c r="H602" s="230">
        <v>-1136.4283054680895</v>
      </c>
      <c r="I602" s="230">
        <v>139.70048679734174</v>
      </c>
      <c r="J602" s="170">
        <v>88402.71097659692</v>
      </c>
    </row>
    <row r="603">
      <c r="A603" s="229">
        <v>42922.0</v>
      </c>
      <c r="B603" s="21">
        <v>-7.092084828310034E-5</v>
      </c>
      <c r="C603" s="21">
        <v>0.0155194392146067</v>
      </c>
      <c r="D603" s="159">
        <v>0.0154485183663236</v>
      </c>
      <c r="E603" s="159">
        <v>0.0017108340889227455</v>
      </c>
      <c r="F603" s="232">
        <v>377.95308370773546</v>
      </c>
      <c r="G603" s="171">
        <v>36.089910571663104</v>
      </c>
      <c r="H603" s="230">
        <v>3412.847097841086</v>
      </c>
      <c r="I603" s="230">
        <v>138.49306070646583</v>
      </c>
      <c r="J603" s="170">
        <v>92951.9863799061</v>
      </c>
    </row>
    <row r="604">
      <c r="A604" s="229">
        <v>42921.0</v>
      </c>
      <c r="B604" s="21">
        <v>-0.0012764625491132585</v>
      </c>
      <c r="C604" s="21">
        <v>0.015014146826514113</v>
      </c>
      <c r="D604" s="159">
        <v>0.013737684277400854</v>
      </c>
      <c r="E604" s="159">
        <v>-2.4368327987391893E-4</v>
      </c>
      <c r="F604" s="232">
        <v>-53.83388586461706</v>
      </c>
      <c r="G604" s="171">
        <v>68.77854220702787</v>
      </c>
      <c r="H604" s="230">
        <v>3034.8940141333505</v>
      </c>
      <c r="I604" s="230">
        <v>102.40315013480273</v>
      </c>
      <c r="J604" s="170">
        <v>92574.03329619837</v>
      </c>
    </row>
    <row r="605">
      <c r="A605" s="229">
        <v>42920.0</v>
      </c>
      <c r="B605" s="21">
        <v>-0.0010571133807896057</v>
      </c>
      <c r="C605" s="21">
        <v>0.01503848093806438</v>
      </c>
      <c r="D605" s="159">
        <v>0.013981367557274773</v>
      </c>
      <c r="E605" s="159">
        <v>0.0013713229038275487</v>
      </c>
      <c r="F605" s="232">
        <v>302.9491425360957</v>
      </c>
      <c r="G605" s="171">
        <v>33.61995792877679</v>
      </c>
      <c r="H605" s="230">
        <v>3088.7278999979676</v>
      </c>
      <c r="I605" s="230">
        <v>33.62460792777486</v>
      </c>
      <c r="J605" s="170">
        <v>72567.58200000008</v>
      </c>
    </row>
    <row r="606">
      <c r="A606" s="229">
        <v>42919.0</v>
      </c>
      <c r="B606" s="21">
        <v>-0.002389955346552775</v>
      </c>
      <c r="C606" s="21">
        <v>0.015</v>
      </c>
      <c r="D606" s="159">
        <v>0.012610044653447224</v>
      </c>
      <c r="E606" s="159">
        <v>0.0031699689841489173</v>
      </c>
      <c r="F606" s="232">
        <v>-3004.4268240819542</v>
      </c>
      <c r="G606" s="170">
        <v>0.0</v>
      </c>
      <c r="H606" s="230">
        <v>2785.778757461872</v>
      </c>
      <c r="I606" s="232">
        <v>0.0</v>
      </c>
      <c r="J606" s="170">
        <v>72649.20000000006</v>
      </c>
    </row>
    <row r="607">
      <c r="A607" s="229">
        <v>42916.0</v>
      </c>
      <c r="B607" s="21">
        <v>0.012234291348430936</v>
      </c>
      <c r="C607" s="21">
        <v>0.013975525472209505</v>
      </c>
      <c r="D607" s="159">
        <v>0.02620981682064044</v>
      </c>
      <c r="E607" s="159">
        <v>-0.010354457523418431</v>
      </c>
      <c r="F607" s="232">
        <v>-2287.480227589429</v>
      </c>
      <c r="G607" s="171">
        <v>0.0</v>
      </c>
      <c r="H607" s="230">
        <v>5790.205581543826</v>
      </c>
      <c r="I607" s="232">
        <v>0.0</v>
      </c>
      <c r="J607" s="170">
        <v>58410.16300000009</v>
      </c>
    </row>
    <row r="608">
      <c r="A608" s="229">
        <v>42915.0</v>
      </c>
      <c r="B608" s="21">
        <v>0.022972595973944365</v>
      </c>
      <c r="C608" s="21">
        <v>0.013591678370114504</v>
      </c>
      <c r="D608" s="159">
        <v>0.03656427434405887</v>
      </c>
      <c r="E608" s="159">
        <v>0.0038947041436468016</v>
      </c>
      <c r="F608" s="232">
        <v>860.408061045523</v>
      </c>
      <c r="G608" s="171">
        <v>0.0</v>
      </c>
      <c r="H608" s="230">
        <v>8077.685809133255</v>
      </c>
      <c r="I608" s="232">
        <v>0.0</v>
      </c>
      <c r="J608" s="170">
        <v>58378.974000000075</v>
      </c>
    </row>
    <row r="609">
      <c r="A609" s="229">
        <v>42914.0</v>
      </c>
      <c r="B609" s="21">
        <v>0.01905564685751505</v>
      </c>
      <c r="C609" s="21">
        <v>0.013613923342897016</v>
      </c>
      <c r="D609" s="159">
        <v>0.03266957020041207</v>
      </c>
      <c r="E609" s="159">
        <v>-0.018333971869656837</v>
      </c>
      <c r="F609" s="232">
        <v>-4050.294093164155</v>
      </c>
      <c r="G609" s="171">
        <v>0.0</v>
      </c>
      <c r="H609" s="230">
        <v>7217.277748087732</v>
      </c>
      <c r="I609" s="232">
        <v>0.0</v>
      </c>
      <c r="J609" s="170">
        <v>59469.04200000006</v>
      </c>
    </row>
    <row r="610">
      <c r="A610" s="229">
        <v>42913.0</v>
      </c>
      <c r="B610" s="21">
        <v>0.03736730082005239</v>
      </c>
      <c r="C610" s="21">
        <v>0.013636241250016518</v>
      </c>
      <c r="D610" s="159">
        <v>0.05100354207006891</v>
      </c>
      <c r="E610" s="159">
        <v>-0.004009134496780878</v>
      </c>
      <c r="F610" s="232">
        <v>-885.6877214853157</v>
      </c>
      <c r="G610" s="171">
        <v>0.0</v>
      </c>
      <c r="H610" s="230">
        <v>11267.571841251887</v>
      </c>
      <c r="I610" s="232">
        <v>0.0</v>
      </c>
      <c r="J610" s="170">
        <v>59739.974000000075</v>
      </c>
    </row>
    <row r="611">
      <c r="A611" s="229">
        <v>42912.0</v>
      </c>
      <c r="B611" s="21">
        <v>0.04135404411609432</v>
      </c>
      <c r="C611" s="21">
        <v>0.013658632450755468</v>
      </c>
      <c r="D611" s="159">
        <v>0.055012676566849786</v>
      </c>
      <c r="E611" s="159">
        <v>-0.0024929451900223554</v>
      </c>
      <c r="F611" s="232">
        <v>-218.11696329420192</v>
      </c>
      <c r="G611" s="171">
        <v>0.0</v>
      </c>
      <c r="H611" s="230">
        <v>12153.259562737203</v>
      </c>
      <c r="I611" s="232">
        <v>0.0</v>
      </c>
      <c r="J611" s="170">
        <v>60708.73800000007</v>
      </c>
    </row>
    <row r="612">
      <c r="A612" s="229">
        <v>42909.0</v>
      </c>
      <c r="B612" s="21">
        <v>0.0423</v>
      </c>
      <c r="C612" s="21">
        <v>0.0137</v>
      </c>
      <c r="D612" s="159">
        <v>0.055999999999999994</v>
      </c>
      <c r="E612" s="159">
        <v>1.9999999999999185E-4</v>
      </c>
      <c r="F612" s="232">
        <v>44.18348759296896</v>
      </c>
      <c r="G612" s="171">
        <v>0.0</v>
      </c>
      <c r="H612" s="230">
        <v>12371.376526031405</v>
      </c>
      <c r="I612" s="232">
        <v>0.0</v>
      </c>
      <c r="J612" s="170">
        <v>61350.69800000006</v>
      </c>
    </row>
    <row r="613">
      <c r="A613" s="229">
        <v>42908.0</v>
      </c>
      <c r="B613" s="21">
        <v>0.0421</v>
      </c>
      <c r="C613" s="21">
        <v>0.0137</v>
      </c>
      <c r="D613" s="159">
        <v>0.0558</v>
      </c>
      <c r="E613" s="159">
        <v>-0.0021000000000000046</v>
      </c>
      <c r="F613" s="232">
        <v>-463.9266197261786</v>
      </c>
      <c r="G613" s="171">
        <v>0.0</v>
      </c>
      <c r="H613" s="230">
        <v>12327.193038438436</v>
      </c>
      <c r="I613" s="232">
        <v>0.0</v>
      </c>
      <c r="J613" s="170">
        <v>61432.113000000085</v>
      </c>
    </row>
    <row r="614">
      <c r="A614" s="229">
        <v>42907.0</v>
      </c>
      <c r="B614" s="21">
        <v>0.0442</v>
      </c>
      <c r="C614" s="21">
        <v>0.0137</v>
      </c>
      <c r="D614" s="159">
        <v>0.05790000000000001</v>
      </c>
      <c r="E614" s="159">
        <v>0.004100000000000006</v>
      </c>
      <c r="F614" s="232">
        <v>905.7614956558718</v>
      </c>
      <c r="G614" s="171">
        <v>0.0</v>
      </c>
      <c r="H614" s="230">
        <v>12791.119658164615</v>
      </c>
      <c r="I614" s="232">
        <v>0.0</v>
      </c>
      <c r="J614" s="170">
        <v>61285.04700000008</v>
      </c>
    </row>
    <row r="615">
      <c r="A615" s="229">
        <v>42906.0</v>
      </c>
      <c r="B615" s="21">
        <v>0.0402</v>
      </c>
      <c r="C615" s="21">
        <v>0.0136</v>
      </c>
      <c r="D615" s="159">
        <v>0.0538</v>
      </c>
      <c r="E615" s="159">
        <v>0.002700000000000001</v>
      </c>
      <c r="F615" s="232">
        <v>596.4770825050855</v>
      </c>
      <c r="G615" s="171">
        <v>0.0</v>
      </c>
      <c r="H615" s="230">
        <v>11885.358162508743</v>
      </c>
      <c r="I615" s="232">
        <v>0.0</v>
      </c>
      <c r="J615" s="170">
        <v>61312.66400000008</v>
      </c>
    </row>
    <row r="616">
      <c r="A616" s="229">
        <v>42905.0</v>
      </c>
      <c r="B616" s="21">
        <v>0.0376</v>
      </c>
      <c r="C616" s="21">
        <v>0.0135</v>
      </c>
      <c r="D616" s="159">
        <v>0.0511</v>
      </c>
      <c r="E616" s="159">
        <v>0.0022999999999999965</v>
      </c>
      <c r="F616" s="232">
        <v>1415.5971436611526</v>
      </c>
      <c r="G616" s="171">
        <v>0.0</v>
      </c>
      <c r="H616" s="230">
        <v>11288.881080003657</v>
      </c>
      <c r="I616" s="232">
        <v>0.0</v>
      </c>
      <c r="J616" s="170">
        <v>61315.21600000007</v>
      </c>
    </row>
    <row r="617">
      <c r="A617" s="229">
        <v>42902.0</v>
      </c>
      <c r="B617" s="21">
        <v>0.031492189205605356</v>
      </c>
      <c r="C617" s="21">
        <v>0.0132</v>
      </c>
      <c r="D617" s="159">
        <v>0.04469218920560536</v>
      </c>
      <c r="E617" s="159">
        <v>-0.0010078107943946382</v>
      </c>
      <c r="F617" s="232">
        <v>-44.528595730194866</v>
      </c>
      <c r="G617" s="171">
        <v>0.0</v>
      </c>
      <c r="H617" s="230">
        <v>9873.283936342505</v>
      </c>
      <c r="I617" s="232">
        <v>0.0</v>
      </c>
      <c r="J617" s="170">
        <v>61344.85200000007</v>
      </c>
    </row>
    <row r="618">
      <c r="A618" s="229">
        <v>42901.0</v>
      </c>
      <c r="B618" s="221">
        <v>0.031713751364484295</v>
      </c>
      <c r="C618" s="221">
        <v>0.013179999999999997</v>
      </c>
      <c r="D618" s="221">
        <v>0.04489375136448429</v>
      </c>
      <c r="E618" s="221">
        <v>-0.0010078107943946382</v>
      </c>
      <c r="F618" s="232">
        <v>-44.528595730196685</v>
      </c>
      <c r="G618" s="171">
        <v>0.0</v>
      </c>
      <c r="H618" s="230">
        <v>9917.8125320727</v>
      </c>
      <c r="I618" s="232">
        <v>0.0</v>
      </c>
      <c r="J618" s="170">
        <v>61642.29300000008</v>
      </c>
    </row>
    <row r="619">
      <c r="A619" s="229">
        <v>42900.0</v>
      </c>
      <c r="B619" s="221">
        <v>0.03193531352336322</v>
      </c>
      <c r="C619" s="221">
        <v>0.013159999999999998</v>
      </c>
      <c r="D619" s="221">
        <v>0.04509531352336322</v>
      </c>
      <c r="E619" s="221">
        <v>-0.0010078107943946382</v>
      </c>
      <c r="F619" s="232">
        <v>-44.528595730196685</v>
      </c>
      <c r="G619" s="171">
        <v>0.0</v>
      </c>
      <c r="H619" s="230">
        <v>9962.341127802896</v>
      </c>
      <c r="I619" s="232">
        <v>0.0</v>
      </c>
      <c r="J619" s="170">
        <v>54845.11200000005</v>
      </c>
    </row>
    <row r="620">
      <c r="A620" s="229">
        <v>42899.0</v>
      </c>
      <c r="B620" s="221">
        <v>0.032156875682242146</v>
      </c>
      <c r="C620" s="221">
        <v>0.013139999999999999</v>
      </c>
      <c r="D620" s="221">
        <v>0.045296875682242145</v>
      </c>
      <c r="E620" s="221">
        <v>-0.0010078107943946382</v>
      </c>
      <c r="F620" s="232">
        <v>-44.528595730196685</v>
      </c>
      <c r="G620" s="171">
        <v>0.0</v>
      </c>
      <c r="H620" s="230">
        <v>10006.869723533093</v>
      </c>
      <c r="I620" s="232">
        <v>0.0</v>
      </c>
      <c r="J620" s="170">
        <v>54656.06900000006</v>
      </c>
    </row>
    <row r="621">
      <c r="A621" s="229">
        <v>42898.0</v>
      </c>
      <c r="B621" s="221">
        <v>0.03237843784112107</v>
      </c>
      <c r="C621" s="221">
        <v>0.01312</v>
      </c>
      <c r="D621" s="221">
        <v>0.04549843784112107</v>
      </c>
      <c r="E621" s="221">
        <v>-0.0010078107943946382</v>
      </c>
      <c r="F621" s="232">
        <v>-44.528595730196685</v>
      </c>
      <c r="G621" s="171">
        <v>0.0</v>
      </c>
      <c r="H621" s="230">
        <v>10051.39831926329</v>
      </c>
      <c r="I621" s="232">
        <v>0.0</v>
      </c>
      <c r="J621" s="170">
        <v>54805.08400000006</v>
      </c>
    </row>
    <row r="622">
      <c r="A622" s="229">
        <v>42895.0</v>
      </c>
      <c r="B622" s="21">
        <v>0.0326</v>
      </c>
      <c r="C622" s="21">
        <v>0.0131</v>
      </c>
      <c r="D622" s="159">
        <v>0.0457</v>
      </c>
      <c r="E622" s="159">
        <v>6.000000000000033E-4</v>
      </c>
      <c r="F622" s="232">
        <v>66.27523138945435</v>
      </c>
      <c r="G622" s="171">
        <v>0.0</v>
      </c>
      <c r="H622" s="230">
        <v>10095.926914993486</v>
      </c>
      <c r="I622" s="232">
        <v>0.0</v>
      </c>
      <c r="J622" s="170">
        <v>55020.605000000054</v>
      </c>
    </row>
    <row r="623">
      <c r="A623" s="229">
        <v>42894.0</v>
      </c>
      <c r="B623" s="221">
        <v>0.03235</v>
      </c>
      <c r="C623" s="221">
        <v>0.013049999999999999</v>
      </c>
      <c r="D623" s="221">
        <v>0.045399999999999996</v>
      </c>
      <c r="E623" s="221">
        <v>6.000000000000033E-4</v>
      </c>
      <c r="F623" s="232">
        <v>66.27523138945435</v>
      </c>
      <c r="G623" s="171">
        <v>0.0</v>
      </c>
      <c r="H623" s="230">
        <v>10029.651683604032</v>
      </c>
      <c r="I623" s="232">
        <v>0.0</v>
      </c>
      <c r="J623" s="170">
        <v>55065.28900000005</v>
      </c>
    </row>
    <row r="624">
      <c r="A624" s="229">
        <v>42893.0</v>
      </c>
      <c r="B624" s="221">
        <v>0.0321</v>
      </c>
      <c r="C624" s="221">
        <v>0.013</v>
      </c>
      <c r="D624" s="221">
        <v>0.045099999999999994</v>
      </c>
      <c r="E624" s="221">
        <v>6.999999999999923E-4</v>
      </c>
      <c r="F624" s="232">
        <v>77.32110328769522</v>
      </c>
      <c r="G624" s="171">
        <v>0.0</v>
      </c>
      <c r="H624" s="230">
        <v>9963.376452214578</v>
      </c>
      <c r="I624" s="232">
        <v>0.0</v>
      </c>
      <c r="J624" s="170">
        <v>55563.17400000004</v>
      </c>
    </row>
    <row r="625">
      <c r="A625" s="229">
        <v>42892.0</v>
      </c>
      <c r="B625" s="221">
        <v>0.031799999999999995</v>
      </c>
      <c r="C625" s="221">
        <v>0.01295</v>
      </c>
      <c r="D625" s="221">
        <v>0.04475</v>
      </c>
      <c r="E625" s="221">
        <v>6.999999999999923E-4</v>
      </c>
      <c r="F625" s="232">
        <v>77.32110328769522</v>
      </c>
      <c r="G625" s="171">
        <v>0.0</v>
      </c>
      <c r="H625" s="230">
        <v>9886.055348926882</v>
      </c>
      <c r="I625" s="232">
        <v>0.0</v>
      </c>
      <c r="J625" s="170">
        <v>55613.826000000045</v>
      </c>
    </row>
    <row r="626">
      <c r="A626" s="229">
        <v>42891.0</v>
      </c>
      <c r="B626" s="21">
        <v>0.0315</v>
      </c>
      <c r="C626" s="21">
        <v>0.0129</v>
      </c>
      <c r="D626" s="159">
        <v>0.0444</v>
      </c>
      <c r="E626" s="159">
        <v>0.0040000000000000036</v>
      </c>
      <c r="F626" s="232">
        <v>883.6697518593883</v>
      </c>
      <c r="G626" s="171">
        <v>0.0</v>
      </c>
      <c r="H626" s="230">
        <v>9808.734245639187</v>
      </c>
      <c r="I626" s="232">
        <v>0.0</v>
      </c>
      <c r="J626" s="170">
        <v>55077.11200000005</v>
      </c>
    </row>
    <row r="627">
      <c r="A627" s="229">
        <v>42888.0</v>
      </c>
      <c r="B627" s="221">
        <v>0.0276</v>
      </c>
      <c r="C627" s="221">
        <v>0.0128</v>
      </c>
      <c r="D627" s="221">
        <v>0.0404</v>
      </c>
      <c r="E627" s="221">
        <v>0.0038999999999999937</v>
      </c>
      <c r="F627" s="232">
        <v>861.5780080628992</v>
      </c>
      <c r="G627" s="171">
        <v>0.0</v>
      </c>
      <c r="H627" s="230">
        <v>8925.064493779799</v>
      </c>
      <c r="I627" s="232">
        <v>0.0</v>
      </c>
      <c r="J627" s="170">
        <v>54866.75400000003</v>
      </c>
    </row>
    <row r="628">
      <c r="A628" s="229">
        <v>42887.0</v>
      </c>
      <c r="B628" s="21">
        <v>0.0238</v>
      </c>
      <c r="C628" s="21">
        <v>0.0127</v>
      </c>
      <c r="D628" s="159">
        <v>0.036500000000000005</v>
      </c>
      <c r="E628" s="159">
        <v>0.0013000000000000095</v>
      </c>
      <c r="F628" s="232">
        <v>143.5963346771514</v>
      </c>
      <c r="G628" s="171">
        <v>0.0</v>
      </c>
      <c r="H628" s="230">
        <v>8063.4864857169</v>
      </c>
      <c r="I628" s="232">
        <v>0.0</v>
      </c>
      <c r="J628" s="170">
        <v>54569.335000000036</v>
      </c>
    </row>
    <row r="629">
      <c r="A629" s="229">
        <v>42886.0</v>
      </c>
      <c r="B629" s="221">
        <v>0.0232</v>
      </c>
      <c r="C629" s="221">
        <v>0.01265</v>
      </c>
      <c r="D629" s="221">
        <v>0.03585</v>
      </c>
      <c r="E629" s="221">
        <v>0.0013000000000000095</v>
      </c>
      <c r="F629" s="232">
        <v>143.5963346771514</v>
      </c>
      <c r="G629" s="171">
        <v>0.0</v>
      </c>
      <c r="H629" s="230">
        <v>7919.890151039748</v>
      </c>
      <c r="I629" s="232">
        <v>0.0</v>
      </c>
      <c r="J629" s="170">
        <v>54542.89400000003</v>
      </c>
    </row>
    <row r="630">
      <c r="A630" s="229">
        <v>42885.0</v>
      </c>
      <c r="B630" s="21">
        <v>0.0226</v>
      </c>
      <c r="C630" s="21">
        <v>0.0126</v>
      </c>
      <c r="D630" s="159">
        <v>0.035199999999999995</v>
      </c>
      <c r="E630" s="159">
        <v>7.999999999999952E-4</v>
      </c>
      <c r="F630" s="232">
        <v>176.73395037187584</v>
      </c>
      <c r="G630" s="171">
        <v>0.0</v>
      </c>
      <c r="H630" s="230">
        <v>7776.293816362597</v>
      </c>
      <c r="I630" s="232">
        <v>0.0</v>
      </c>
      <c r="J630" s="170">
        <v>54747.865000000034</v>
      </c>
    </row>
    <row r="631">
      <c r="A631" s="229">
        <v>42884.0</v>
      </c>
      <c r="B631" s="21">
        <v>0.0219</v>
      </c>
      <c r="C631" s="21">
        <v>0.0125</v>
      </c>
      <c r="D631" s="159">
        <v>0.0344</v>
      </c>
      <c r="E631" s="159">
        <v>0.0015000000000000013</v>
      </c>
      <c r="F631" s="232">
        <v>331.37615694727083</v>
      </c>
      <c r="G631" s="171">
        <v>0.0</v>
      </c>
      <c r="H631" s="230">
        <v>7599.559865990721</v>
      </c>
      <c r="I631" s="232">
        <v>0.0</v>
      </c>
      <c r="J631" s="170">
        <v>55003.322000000044</v>
      </c>
    </row>
    <row r="632">
      <c r="A632" s="229">
        <v>42881.0</v>
      </c>
      <c r="B632" s="21">
        <v>0.0205</v>
      </c>
      <c r="C632" s="21">
        <v>0.0124</v>
      </c>
      <c r="D632" s="159">
        <v>0.0329</v>
      </c>
      <c r="E632" s="159">
        <v>0.003499999999999996</v>
      </c>
      <c r="F632" s="232">
        <v>773.2110328769613</v>
      </c>
      <c r="G632" s="171">
        <v>0.0</v>
      </c>
      <c r="H632" s="230">
        <v>7268.18370904345</v>
      </c>
      <c r="I632" s="232">
        <v>0.0</v>
      </c>
      <c r="J632" s="170">
        <v>54978.66100000004</v>
      </c>
    </row>
    <row r="633">
      <c r="A633" s="229">
        <v>42880.0</v>
      </c>
      <c r="B633" s="21">
        <v>0.0171</v>
      </c>
      <c r="C633" s="21">
        <v>0.0123</v>
      </c>
      <c r="D633" s="159">
        <v>0.029400000000000003</v>
      </c>
      <c r="E633" s="159">
        <v>0.001800000000000003</v>
      </c>
      <c r="F633" s="232">
        <v>198.82569416836213</v>
      </c>
      <c r="G633" s="171">
        <v>0.0</v>
      </c>
      <c r="H633" s="230">
        <v>6494.972676166489</v>
      </c>
      <c r="I633" s="232">
        <v>0.0</v>
      </c>
      <c r="J633" s="170">
        <v>54217.91200000004</v>
      </c>
    </row>
    <row r="634">
      <c r="A634" s="229">
        <v>42879.0</v>
      </c>
      <c r="B634" s="221">
        <v>0.01625</v>
      </c>
      <c r="C634" s="221">
        <v>0.01225</v>
      </c>
      <c r="D634" s="221">
        <v>0.0285</v>
      </c>
      <c r="E634" s="221">
        <v>0.001800000000000003</v>
      </c>
      <c r="F634" s="232">
        <v>198.82569416836304</v>
      </c>
      <c r="G634" s="171">
        <v>0.0</v>
      </c>
      <c r="H634" s="230">
        <v>6296.146981998127</v>
      </c>
      <c r="I634" s="232">
        <v>0.0</v>
      </c>
      <c r="J634" s="170">
        <v>54271.02300000003</v>
      </c>
    </row>
    <row r="635">
      <c r="A635" s="229">
        <v>42878.0</v>
      </c>
      <c r="B635" s="21">
        <v>0.0154</v>
      </c>
      <c r="C635" s="21">
        <v>0.0122</v>
      </c>
      <c r="D635" s="159">
        <v>0.0276</v>
      </c>
      <c r="E635" s="159">
        <v>-0.0023</v>
      </c>
      <c r="F635" s="232">
        <v>-254.0550536595738</v>
      </c>
      <c r="G635" s="171">
        <v>0.0</v>
      </c>
      <c r="H635" s="230">
        <v>6097.321287829764</v>
      </c>
      <c r="I635" s="232">
        <v>0.0</v>
      </c>
      <c r="J635" s="170">
        <v>54162.39100000005</v>
      </c>
    </row>
    <row r="636">
      <c r="A636" s="229">
        <v>42877.0</v>
      </c>
      <c r="B636" s="221">
        <v>0.0166</v>
      </c>
      <c r="C636" s="221">
        <v>0.012150000000000001</v>
      </c>
      <c r="D636" s="221">
        <v>0.028749999999999998</v>
      </c>
      <c r="E636" s="221">
        <v>-0.0023</v>
      </c>
      <c r="F636" s="232">
        <v>-254.0550536595738</v>
      </c>
      <c r="G636" s="171">
        <v>0.0</v>
      </c>
      <c r="H636" s="230">
        <v>6351.376341489337</v>
      </c>
      <c r="I636" s="232">
        <v>0.0</v>
      </c>
      <c r="J636" s="170">
        <v>54217.79100000003</v>
      </c>
    </row>
    <row r="637">
      <c r="A637" s="229">
        <v>42874.0</v>
      </c>
      <c r="B637" s="21">
        <v>0.0178</v>
      </c>
      <c r="C637" s="21">
        <v>0.0121</v>
      </c>
      <c r="D637" s="159">
        <v>0.0299</v>
      </c>
      <c r="E637" s="159">
        <v>-0.004010717515186755</v>
      </c>
      <c r="F637" s="232">
        <v>-295.34581261859785</v>
      </c>
      <c r="G637" s="171">
        <v>0.0</v>
      </c>
      <c r="H637" s="230">
        <v>6605.431395148911</v>
      </c>
      <c r="I637" s="232">
        <v>0.0</v>
      </c>
      <c r="J637" s="170">
        <v>54214.15500000003</v>
      </c>
    </row>
    <row r="638">
      <c r="A638" s="229">
        <v>42873.0</v>
      </c>
      <c r="B638" s="221">
        <v>0.019170239171728918</v>
      </c>
      <c r="C638" s="221">
        <v>0.012066666666666667</v>
      </c>
      <c r="D638" s="221">
        <v>0.031236905838395588</v>
      </c>
      <c r="E638" s="221">
        <v>-0.004010717515186755</v>
      </c>
      <c r="F638" s="232">
        <v>-295.34581261859785</v>
      </c>
      <c r="G638" s="171">
        <v>0.0</v>
      </c>
      <c r="H638" s="230">
        <v>6900.777207767509</v>
      </c>
      <c r="I638" s="232">
        <v>0.0</v>
      </c>
      <c r="J638" s="170">
        <v>54665.964000000036</v>
      </c>
    </row>
    <row r="639">
      <c r="A639" s="229">
        <v>42872.0</v>
      </c>
      <c r="B639" s="221">
        <v>0.020540478343457836</v>
      </c>
      <c r="C639" s="221">
        <v>0.012033333333333333</v>
      </c>
      <c r="D639" s="221">
        <v>0.03257381167679117</v>
      </c>
      <c r="E639" s="221">
        <v>-0.004010717515186755</v>
      </c>
      <c r="F639" s="232">
        <v>-295.34581261859785</v>
      </c>
      <c r="G639" s="171">
        <v>0.0</v>
      </c>
      <c r="H639" s="230">
        <v>7196.123020386107</v>
      </c>
      <c r="I639" s="232">
        <v>0.0</v>
      </c>
      <c r="J639" s="170">
        <v>54674.134000000035</v>
      </c>
    </row>
    <row r="640">
      <c r="A640" s="229">
        <v>42871.0</v>
      </c>
      <c r="B640" s="21">
        <v>0.021910717515186754</v>
      </c>
      <c r="C640" s="21">
        <v>0.012</v>
      </c>
      <c r="D640" s="159">
        <v>0.033910717515186754</v>
      </c>
      <c r="E640" s="159">
        <v>5.468744933845512E-4</v>
      </c>
      <c r="F640" s="232">
        <v>24.162822393368515</v>
      </c>
      <c r="G640" s="171">
        <v>0.0</v>
      </c>
      <c r="H640" s="230">
        <v>7491.468833004705</v>
      </c>
      <c r="I640" s="232">
        <v>0.0</v>
      </c>
      <c r="J640" s="170">
        <v>54326.79900000003</v>
      </c>
    </row>
    <row r="641">
      <c r="A641" s="229">
        <v>42870.0</v>
      </c>
      <c r="B641" s="221">
        <v>0.021801342616509845</v>
      </c>
      <c r="C641" s="221">
        <v>0.012</v>
      </c>
      <c r="D641" s="221">
        <v>0.033801342616509855</v>
      </c>
      <c r="E641" s="221">
        <v>5.468744933845512E-4</v>
      </c>
      <c r="F641" s="232">
        <v>24.162822393367605</v>
      </c>
      <c r="G641" s="171">
        <v>0.0</v>
      </c>
      <c r="H641" s="230">
        <v>7467.306010611336</v>
      </c>
      <c r="I641" s="232">
        <v>0.0</v>
      </c>
      <c r="J641" s="170">
        <v>55768.985000000044</v>
      </c>
    </row>
    <row r="642">
      <c r="A642" s="229">
        <v>42867.0</v>
      </c>
      <c r="B642" s="221">
        <v>0.021691967717832935</v>
      </c>
      <c r="C642" s="221">
        <v>0.012</v>
      </c>
      <c r="D642" s="221">
        <v>0.03369196771783294</v>
      </c>
      <c r="E642" s="221">
        <v>5.468744933845512E-4</v>
      </c>
      <c r="F642" s="232">
        <v>24.162822393367605</v>
      </c>
      <c r="G642" s="171">
        <v>0.0</v>
      </c>
      <c r="H642" s="230">
        <v>7443.143188217969</v>
      </c>
      <c r="I642" s="232">
        <v>0.0</v>
      </c>
      <c r="J642" s="170">
        <v>55934.658000000054</v>
      </c>
    </row>
    <row r="643">
      <c r="A643" s="229">
        <v>42866.0</v>
      </c>
      <c r="B643" s="221">
        <v>0.021582592819156025</v>
      </c>
      <c r="C643" s="221">
        <v>0.012</v>
      </c>
      <c r="D643" s="221">
        <v>0.03358259281915603</v>
      </c>
      <c r="E643" s="221">
        <v>5.468744933845512E-4</v>
      </c>
      <c r="F643" s="232">
        <v>24.162822393367605</v>
      </c>
      <c r="G643" s="171">
        <v>0.0</v>
      </c>
      <c r="H643" s="230">
        <v>7418.980365824601</v>
      </c>
      <c r="I643" s="232">
        <v>0.0</v>
      </c>
      <c r="J643" s="170">
        <v>55536.19900000005</v>
      </c>
    </row>
    <row r="644">
      <c r="A644" s="229">
        <v>42865.0</v>
      </c>
      <c r="B644" s="221">
        <v>0.021473217920479116</v>
      </c>
      <c r="C644" s="221">
        <v>0.012</v>
      </c>
      <c r="D644" s="221">
        <v>0.033473217920479116</v>
      </c>
      <c r="E644" s="221">
        <v>5.468744933845512E-4</v>
      </c>
      <c r="F644" s="232">
        <v>24.162822393367605</v>
      </c>
      <c r="G644" s="171">
        <v>0.0</v>
      </c>
      <c r="H644" s="230">
        <v>7394.817543431233</v>
      </c>
      <c r="I644" s="232">
        <v>0.0</v>
      </c>
      <c r="J644" s="170">
        <v>55655.03400000006</v>
      </c>
    </row>
    <row r="645">
      <c r="A645" s="229">
        <v>42864.0</v>
      </c>
      <c r="B645" s="221">
        <v>0.021363843021802206</v>
      </c>
      <c r="C645" s="221">
        <v>0.012</v>
      </c>
      <c r="D645" s="221">
        <v>0.0333638430218022</v>
      </c>
      <c r="E645" s="221">
        <v>-0.01404307411194139</v>
      </c>
      <c r="F645" s="232">
        <v>-620.4719907921135</v>
      </c>
      <c r="G645" s="171">
        <v>0.0</v>
      </c>
      <c r="H645" s="230">
        <v>7370.654721037866</v>
      </c>
      <c r="I645" s="232">
        <v>0.0</v>
      </c>
      <c r="J645" s="170">
        <v>55349.43700000006</v>
      </c>
    </row>
    <row r="646">
      <c r="A646" s="229">
        <v>42863.0</v>
      </c>
      <c r="B646" s="221">
        <v>0.02417245784419049</v>
      </c>
      <c r="C646" s="221">
        <v>0.012</v>
      </c>
      <c r="D646" s="221">
        <v>0.036172457844190486</v>
      </c>
      <c r="E646" s="221">
        <v>-0.01404307411194139</v>
      </c>
      <c r="F646" s="232">
        <v>-620.4719907921108</v>
      </c>
      <c r="G646" s="171">
        <v>0.0</v>
      </c>
      <c r="H646" s="230">
        <v>7991.126711829979</v>
      </c>
      <c r="I646" s="232">
        <v>0.0</v>
      </c>
      <c r="J646" s="170">
        <v>55047.858000000066</v>
      </c>
    </row>
    <row r="647">
      <c r="A647" s="229">
        <v>42860.0</v>
      </c>
      <c r="B647" s="221">
        <v>0.026981072666578766</v>
      </c>
      <c r="C647" s="221">
        <v>0.012</v>
      </c>
      <c r="D647" s="221">
        <v>0.03898107266657876</v>
      </c>
      <c r="E647" s="221">
        <v>-0.01404307411194139</v>
      </c>
      <c r="F647" s="232">
        <v>-620.4719907921099</v>
      </c>
      <c r="G647" s="171">
        <v>0.0</v>
      </c>
      <c r="H647" s="230">
        <v>8611.59870262209</v>
      </c>
      <c r="I647" s="232">
        <v>0.0</v>
      </c>
      <c r="J647" s="170">
        <v>54572.16700000006</v>
      </c>
    </row>
    <row r="648">
      <c r="A648" s="229">
        <v>42859.0</v>
      </c>
      <c r="B648" s="221">
        <v>0.029789687488967043</v>
      </c>
      <c r="C648" s="221">
        <v>0.012</v>
      </c>
      <c r="D648" s="221">
        <v>0.04178968748896704</v>
      </c>
      <c r="E648" s="221">
        <v>-0.01404307411194139</v>
      </c>
      <c r="F648" s="232">
        <v>-620.4719907921099</v>
      </c>
      <c r="G648" s="171">
        <v>0.0</v>
      </c>
      <c r="H648" s="230">
        <v>9232.0706934142</v>
      </c>
      <c r="I648" s="232">
        <v>0.0</v>
      </c>
      <c r="J648" s="170">
        <v>54901.78500000006</v>
      </c>
    </row>
    <row r="649">
      <c r="A649" s="229">
        <v>42858.0</v>
      </c>
      <c r="B649" s="221">
        <v>0.03259830231135532</v>
      </c>
      <c r="C649" s="221">
        <v>0.012</v>
      </c>
      <c r="D649" s="221">
        <v>0.044598302311355316</v>
      </c>
      <c r="E649" s="221">
        <v>-0.01404307411194139</v>
      </c>
      <c r="F649" s="232">
        <v>-620.4719907921099</v>
      </c>
      <c r="G649" s="171">
        <v>0.0</v>
      </c>
      <c r="H649" s="230">
        <v>9852.54268420631</v>
      </c>
      <c r="I649" s="232">
        <v>0.0</v>
      </c>
      <c r="J649" s="170">
        <v>56052.18500000007</v>
      </c>
    </row>
    <row r="650">
      <c r="A650" s="229">
        <v>42857.0</v>
      </c>
      <c r="B650" s="21">
        <v>0.035406917133743596</v>
      </c>
      <c r="C650" s="21">
        <v>0.012</v>
      </c>
      <c r="D650" s="159">
        <v>0.04740691713374359</v>
      </c>
      <c r="E650" s="159">
        <v>-1.994398679431436E-4</v>
      </c>
      <c r="F650" s="232">
        <v>3631.20423011157</v>
      </c>
      <c r="G650" s="171">
        <v>0.0</v>
      </c>
      <c r="H650" s="230">
        <v>10473.01467499842</v>
      </c>
      <c r="I650" s="232">
        <v>0.0</v>
      </c>
      <c r="J650" s="170">
        <v>50937.294</v>
      </c>
    </row>
    <row r="651">
      <c r="A651" s="229">
        <v>42853.0</v>
      </c>
      <c r="B651" s="21">
        <v>0.018969988190681228</v>
      </c>
      <c r="C651" s="21">
        <v>0.012</v>
      </c>
      <c r="D651" s="159">
        <v>0.030969988190681228</v>
      </c>
      <c r="E651" s="159">
        <v>8.180781288390192E-4</v>
      </c>
      <c r="F651" s="232">
        <v>-3675.2639747656167</v>
      </c>
      <c r="G651" s="171">
        <v>0.0</v>
      </c>
      <c r="H651" s="230">
        <v>6841.81044488685</v>
      </c>
      <c r="I651" s="232">
        <v>0.0</v>
      </c>
      <c r="J651" s="170">
        <v>51252.730875</v>
      </c>
    </row>
    <row r="652">
      <c r="A652" s="229">
        <v>42852.0</v>
      </c>
      <c r="B652" s="221">
        <v>0.03560635700168673</v>
      </c>
      <c r="C652" s="221">
        <v>0.012</v>
      </c>
      <c r="D652" s="221">
        <v>0.047606357001686736</v>
      </c>
      <c r="E652" s="221">
        <v>0.016636368811005508</v>
      </c>
      <c r="F652" s="232">
        <v>385.5991699043825</v>
      </c>
      <c r="G652" s="171">
        <v>0.0</v>
      </c>
      <c r="H652" s="230">
        <v>10517.074419652467</v>
      </c>
      <c r="I652" s="232">
        <v>0.0</v>
      </c>
      <c r="J652" s="170">
        <v>51568.16775</v>
      </c>
    </row>
    <row r="653">
      <c r="A653" s="229">
        <v>42851.0</v>
      </c>
      <c r="B653" s="221">
        <v>0.03386091230770228</v>
      </c>
      <c r="C653" s="221">
        <v>0.012</v>
      </c>
      <c r="D653" s="221">
        <v>0.04586091230770228</v>
      </c>
      <c r="E653" s="221">
        <v>0.016636368811005508</v>
      </c>
      <c r="F653" s="232">
        <v>385.5991699043807</v>
      </c>
      <c r="G653" s="171">
        <v>0.0</v>
      </c>
      <c r="H653" s="230">
        <v>10131.475249748084</v>
      </c>
      <c r="I653" s="232">
        <v>0.0</v>
      </c>
      <c r="J653" s="170">
        <v>51883.604625</v>
      </c>
    </row>
    <row r="654">
      <c r="A654" s="229">
        <v>42850.0</v>
      </c>
      <c r="B654" s="221">
        <v>0.03211546761371783</v>
      </c>
      <c r="C654" s="221">
        <v>0.012</v>
      </c>
      <c r="D654" s="221">
        <v>0.044115467613717825</v>
      </c>
      <c r="E654" s="221">
        <v>0.016636368811005508</v>
      </c>
      <c r="F654" s="232">
        <v>385.5991699043807</v>
      </c>
      <c r="G654" s="171">
        <v>0.0</v>
      </c>
      <c r="H654" s="230">
        <v>9745.876079843703</v>
      </c>
      <c r="I654" s="232">
        <v>0.0</v>
      </c>
      <c r="J654" s="170">
        <v>52199.0415</v>
      </c>
    </row>
    <row r="655">
      <c r="A655" s="229">
        <v>42849.0</v>
      </c>
      <c r="B655" s="221">
        <v>0.030370022919733373</v>
      </c>
      <c r="C655" s="221">
        <v>0.012</v>
      </c>
      <c r="D655" s="221">
        <v>0.04237002291973337</v>
      </c>
      <c r="E655" s="221">
        <v>0.016636368811005508</v>
      </c>
      <c r="F655" s="232">
        <v>385.5991699043807</v>
      </c>
      <c r="G655" s="171">
        <v>0.0</v>
      </c>
      <c r="H655" s="230">
        <v>9360.276909939323</v>
      </c>
      <c r="I655" s="232">
        <v>0.0</v>
      </c>
      <c r="J655" s="170">
        <v>52514.478375</v>
      </c>
    </row>
    <row r="656">
      <c r="A656" s="229">
        <v>42846.0</v>
      </c>
      <c r="B656" s="221">
        <v>0.02862457822574892</v>
      </c>
      <c r="C656" s="221">
        <v>0.012</v>
      </c>
      <c r="D656" s="221">
        <v>0.04062457822574892</v>
      </c>
      <c r="E656" s="221">
        <v>0.016636368811005508</v>
      </c>
      <c r="F656" s="232">
        <v>385.5991699043807</v>
      </c>
      <c r="G656" s="171">
        <v>0.0</v>
      </c>
      <c r="H656" s="230">
        <v>8974.677740034942</v>
      </c>
      <c r="I656" s="232">
        <v>0.0</v>
      </c>
      <c r="J656" s="170">
        <v>52829.91525</v>
      </c>
    </row>
    <row r="657">
      <c r="A657" s="229">
        <v>42845.0</v>
      </c>
      <c r="B657" s="221">
        <v>0.02687913353176447</v>
      </c>
      <c r="C657" s="221">
        <v>0.012</v>
      </c>
      <c r="D657" s="221">
        <v>0.03887913353176447</v>
      </c>
      <c r="E657" s="221">
        <v>0.016636368811005508</v>
      </c>
      <c r="F657" s="232">
        <v>385.5991699043807</v>
      </c>
      <c r="G657" s="171">
        <v>0.0</v>
      </c>
      <c r="H657" s="230">
        <v>8589.078570130561</v>
      </c>
      <c r="I657" s="232">
        <v>0.0</v>
      </c>
      <c r="J657" s="170">
        <v>53145.352125</v>
      </c>
    </row>
    <row r="658">
      <c r="A658" s="229">
        <v>42844.0</v>
      </c>
      <c r="B658" s="221">
        <v>0.025133688837780017</v>
      </c>
      <c r="C658" s="221">
        <v>0.012</v>
      </c>
      <c r="D658" s="221">
        <v>0.03713368883778002</v>
      </c>
      <c r="E658" s="221">
        <v>0.016636368811005508</v>
      </c>
      <c r="F658" s="232">
        <v>385.5991699043807</v>
      </c>
      <c r="G658" s="171">
        <v>0.0</v>
      </c>
      <c r="H658" s="230">
        <v>8203.47940022618</v>
      </c>
      <c r="I658" s="232">
        <v>0.0</v>
      </c>
      <c r="J658" s="170">
        <v>53460.789000000004</v>
      </c>
    </row>
    <row r="659">
      <c r="A659" s="229">
        <v>42843.0</v>
      </c>
      <c r="B659" s="221">
        <v>0.023388244143795565</v>
      </c>
      <c r="C659" s="221">
        <v>0.012</v>
      </c>
      <c r="D659" s="221">
        <v>0.035388244143795565</v>
      </c>
      <c r="E659" s="221">
        <v>0.016636368811005508</v>
      </c>
      <c r="F659" s="232">
        <v>385.5991699043807</v>
      </c>
      <c r="G659" s="171">
        <v>0.0</v>
      </c>
      <c r="H659" s="230">
        <v>7817.8802303218</v>
      </c>
      <c r="I659" s="232">
        <v>0.0</v>
      </c>
      <c r="J659" s="170">
        <v>53859.386</v>
      </c>
    </row>
    <row r="660">
      <c r="A660" s="229">
        <v>42838.0</v>
      </c>
      <c r="B660" s="221">
        <v>0.021642799449811113</v>
      </c>
      <c r="C660" s="221">
        <v>0.012</v>
      </c>
      <c r="D660" s="221">
        <v>0.03364279944981111</v>
      </c>
      <c r="E660" s="221">
        <v>0.016636368811005508</v>
      </c>
      <c r="F660" s="232">
        <v>385.5991699043807</v>
      </c>
      <c r="G660" s="171">
        <v>0.0</v>
      </c>
      <c r="H660" s="230">
        <v>7432.281060417419</v>
      </c>
      <c r="I660" s="232">
        <v>0.0</v>
      </c>
      <c r="J660" s="170">
        <v>53961.799999999996</v>
      </c>
    </row>
    <row r="661">
      <c r="A661" s="229">
        <v>42837.0</v>
      </c>
      <c r="B661" s="221">
        <v>0.01989735475582666</v>
      </c>
      <c r="C661" s="221">
        <v>0.012</v>
      </c>
      <c r="D661" s="221">
        <v>0.03189735475582666</v>
      </c>
      <c r="E661" s="221">
        <v>0.016636368811005508</v>
      </c>
      <c r="F661" s="232">
        <v>385.5991699043807</v>
      </c>
      <c r="G661" s="171">
        <v>0.0</v>
      </c>
      <c r="H661" s="230">
        <v>7046.6818905130385</v>
      </c>
      <c r="I661" s="232">
        <v>0.0</v>
      </c>
      <c r="J661" s="170">
        <v>53751.428</v>
      </c>
    </row>
    <row r="662">
      <c r="A662" s="229">
        <v>42836.0</v>
      </c>
      <c r="B662" s="21">
        <v>0.01815191006184221</v>
      </c>
      <c r="C662" s="21">
        <v>0.012</v>
      </c>
      <c r="D662" s="159">
        <v>0.03015191006184221</v>
      </c>
      <c r="E662" s="159">
        <v>4.2582717469073425E-4</v>
      </c>
      <c r="F662" s="232">
        <v>94.07264844848578</v>
      </c>
      <c r="G662" s="171">
        <v>0.0</v>
      </c>
      <c r="H662" s="230">
        <v>6661.082720608658</v>
      </c>
      <c r="I662" s="232">
        <v>0.0</v>
      </c>
      <c r="J662" s="170">
        <v>53593.513</v>
      </c>
    </row>
    <row r="663">
      <c r="A663" s="229">
        <v>42835.0</v>
      </c>
      <c r="B663" s="21">
        <v>0.017726082887151474</v>
      </c>
      <c r="C663" s="21">
        <v>0.012</v>
      </c>
      <c r="D663" s="159">
        <v>0.029726082887151475</v>
      </c>
      <c r="E663" s="159">
        <v>-2.3056632132145705E-6</v>
      </c>
      <c r="F663" s="232">
        <v>-0.16978706995814719</v>
      </c>
      <c r="G663" s="171">
        <v>0.0</v>
      </c>
      <c r="H663" s="230">
        <v>6567.010072160172</v>
      </c>
      <c r="I663" s="232">
        <v>0.0</v>
      </c>
      <c r="J663" s="170">
        <v>53189.529</v>
      </c>
    </row>
    <row r="664">
      <c r="A664" s="229">
        <v>42832.0</v>
      </c>
      <c r="B664" s="221">
        <v>0.017726851441555877</v>
      </c>
      <c r="C664" s="221">
        <v>0.012</v>
      </c>
      <c r="D664" s="221">
        <v>0.029726851441555877</v>
      </c>
      <c r="E664" s="221">
        <v>-2.3056632132145705E-6</v>
      </c>
      <c r="F664" s="232">
        <v>-0.1697870699572377</v>
      </c>
      <c r="G664" s="171">
        <v>0.0</v>
      </c>
      <c r="H664" s="230">
        <v>6567.17985923013</v>
      </c>
      <c r="I664" s="232">
        <v>0.0</v>
      </c>
      <c r="J664" s="170">
        <v>53461.41700000001</v>
      </c>
    </row>
    <row r="665">
      <c r="A665" s="229">
        <v>42831.0</v>
      </c>
      <c r="B665" s="221">
        <v>0.017727619995960283</v>
      </c>
      <c r="C665" s="221">
        <v>0.012</v>
      </c>
      <c r="D665" s="221">
        <v>0.029727619995960283</v>
      </c>
      <c r="E665" s="221">
        <v>-2.3056632132145705E-6</v>
      </c>
      <c r="F665" s="232">
        <v>-0.1697870699572377</v>
      </c>
      <c r="G665" s="171">
        <v>0.0</v>
      </c>
      <c r="H665" s="230">
        <v>6567.349646300087</v>
      </c>
      <c r="I665" s="232">
        <v>0.0</v>
      </c>
      <c r="J665" s="170">
        <v>52862.797</v>
      </c>
    </row>
    <row r="666">
      <c r="A666" s="229">
        <v>42830.0</v>
      </c>
      <c r="B666" s="21">
        <v>0.01772838855036469</v>
      </c>
      <c r="C666" s="21">
        <v>0.012</v>
      </c>
      <c r="D666" s="159">
        <v>0.02972838855036469</v>
      </c>
      <c r="E666" s="159">
        <v>6.484677787168408E-5</v>
      </c>
      <c r="F666" s="232">
        <v>0.682180191788575</v>
      </c>
      <c r="G666" s="171">
        <v>0.0</v>
      </c>
      <c r="H666" s="230">
        <v>6567.519433370045</v>
      </c>
      <c r="I666" s="232">
        <v>0.0</v>
      </c>
      <c r="J666" s="170">
        <v>52775.998</v>
      </c>
    </row>
    <row r="667">
      <c r="A667" s="229">
        <v>42829.0</v>
      </c>
      <c r="B667" s="221">
        <v>0.017725300608561242</v>
      </c>
      <c r="C667" s="221">
        <v>0.012</v>
      </c>
      <c r="D667" s="221">
        <v>0.029725300608561243</v>
      </c>
      <c r="E667" s="221">
        <v>6.484677787168408E-5</v>
      </c>
      <c r="F667" s="232">
        <v>0.6821801917949415</v>
      </c>
      <c r="G667" s="171">
        <v>0.0</v>
      </c>
      <c r="H667" s="230">
        <v>6566.837253178256</v>
      </c>
      <c r="I667" s="232">
        <v>0.0</v>
      </c>
      <c r="J667" s="170">
        <v>52944.46199999999</v>
      </c>
    </row>
    <row r="668">
      <c r="A668" s="229">
        <v>42828.0</v>
      </c>
      <c r="B668" s="221">
        <v>0.01772221266675783</v>
      </c>
      <c r="C668" s="221">
        <v>0.012</v>
      </c>
      <c r="D668" s="221">
        <v>0.02972221266675783</v>
      </c>
      <c r="E668" s="221">
        <v>6.484677787168408E-5</v>
      </c>
      <c r="F668" s="232">
        <v>0.6821801917949415</v>
      </c>
      <c r="G668" s="171">
        <v>0.0</v>
      </c>
      <c r="H668" s="230">
        <v>6566.155072986461</v>
      </c>
      <c r="I668" s="232">
        <v>0.0</v>
      </c>
      <c r="J668" s="170">
        <v>52886.281</v>
      </c>
    </row>
    <row r="669">
      <c r="A669" s="229">
        <v>42825.0</v>
      </c>
      <c r="B669" s="221">
        <v>0.01771912472495442</v>
      </c>
      <c r="C669" s="221">
        <v>0.012</v>
      </c>
      <c r="D669" s="221">
        <v>0.02971912472495442</v>
      </c>
      <c r="E669" s="221">
        <v>6.484677787168408E-5</v>
      </c>
      <c r="F669" s="232">
        <v>0.6821801917949415</v>
      </c>
      <c r="G669" s="171">
        <v>0.0</v>
      </c>
      <c r="H669" s="230">
        <v>6565.472892794666</v>
      </c>
      <c r="I669" s="232">
        <v>0.0</v>
      </c>
      <c r="J669" s="170">
        <v>52490.473000000005</v>
      </c>
    </row>
    <row r="670">
      <c r="A670" s="229">
        <v>42824.0</v>
      </c>
      <c r="B670" s="221">
        <v>0.017716036783151007</v>
      </c>
      <c r="C670" s="221">
        <v>0.012</v>
      </c>
      <c r="D670" s="221">
        <v>0.029716036783151007</v>
      </c>
      <c r="E670" s="221">
        <v>6.484677787168408E-5</v>
      </c>
      <c r="F670" s="232">
        <v>0.6821801917949415</v>
      </c>
      <c r="G670" s="171">
        <v>0.0</v>
      </c>
      <c r="H670" s="230">
        <v>6564.790712602871</v>
      </c>
      <c r="I670" s="232">
        <v>0.0</v>
      </c>
      <c r="J670" s="170">
        <v>52413.501000000004</v>
      </c>
    </row>
    <row r="671">
      <c r="A671" s="229">
        <v>42823.0</v>
      </c>
      <c r="B671" s="221">
        <v>0.017712948841347595</v>
      </c>
      <c r="C671" s="221">
        <v>0.012</v>
      </c>
      <c r="D671" s="221">
        <v>0.029712948841347595</v>
      </c>
      <c r="E671" s="221">
        <v>6.484677787168408E-5</v>
      </c>
      <c r="F671" s="232">
        <v>0.6821801917949415</v>
      </c>
      <c r="G671" s="171">
        <v>0.0</v>
      </c>
      <c r="H671" s="230">
        <v>6564.108532411076</v>
      </c>
      <c r="I671" s="232">
        <v>0.0</v>
      </c>
      <c r="J671" s="170">
        <v>52341.07</v>
      </c>
    </row>
    <row r="672">
      <c r="A672" s="229">
        <v>42822.0</v>
      </c>
      <c r="B672" s="221">
        <v>0.017709860899544183</v>
      </c>
      <c r="C672" s="221">
        <v>0.012</v>
      </c>
      <c r="D672" s="221">
        <v>0.029709860899544183</v>
      </c>
      <c r="E672" s="221">
        <v>6.484677787168408E-5</v>
      </c>
      <c r="F672" s="232">
        <v>0.6821801917949415</v>
      </c>
      <c r="G672" s="171">
        <v>0.0</v>
      </c>
      <c r="H672" s="230">
        <v>6563.426352219281</v>
      </c>
      <c r="I672" s="232">
        <v>0.0</v>
      </c>
      <c r="J672" s="170">
        <v>51946.604</v>
      </c>
    </row>
    <row r="673">
      <c r="A673" s="229">
        <v>42821.0</v>
      </c>
      <c r="B673" s="221">
        <v>0.01770677295774077</v>
      </c>
      <c r="C673" s="221">
        <v>0.012</v>
      </c>
      <c r="D673" s="221">
        <v>0.02970677295774077</v>
      </c>
      <c r="E673" s="221">
        <v>6.484677787168408E-5</v>
      </c>
      <c r="F673" s="232">
        <v>0.6821801917949415</v>
      </c>
      <c r="G673" s="171">
        <v>0.0</v>
      </c>
      <c r="H673" s="230">
        <v>6562.7441720274865</v>
      </c>
      <c r="I673" s="232">
        <v>0.0</v>
      </c>
      <c r="J673" s="170">
        <v>51782.684</v>
      </c>
    </row>
    <row r="674">
      <c r="A674" s="229">
        <v>42818.0</v>
      </c>
      <c r="B674" s="221">
        <v>0.01770368501593736</v>
      </c>
      <c r="C674" s="221">
        <v>0.012</v>
      </c>
      <c r="D674" s="221">
        <v>0.02970368501593736</v>
      </c>
      <c r="E674" s="221">
        <v>6.484677787168408E-5</v>
      </c>
      <c r="F674" s="232">
        <v>0.6821801917949415</v>
      </c>
      <c r="G674" s="171">
        <v>0.0</v>
      </c>
      <c r="H674" s="230">
        <v>6562.0619918356915</v>
      </c>
      <c r="I674" s="232">
        <v>0.0</v>
      </c>
      <c r="J674" s="170">
        <v>51987.770000000004</v>
      </c>
    </row>
    <row r="675">
      <c r="A675" s="229">
        <v>42817.0</v>
      </c>
      <c r="B675" s="221">
        <v>0.017700597074133947</v>
      </c>
      <c r="C675" s="221">
        <v>0.012</v>
      </c>
      <c r="D675" s="221">
        <v>0.029700597074133948</v>
      </c>
      <c r="E675" s="221">
        <v>6.484677787168408E-5</v>
      </c>
      <c r="F675" s="232">
        <v>0.6821801917949415</v>
      </c>
      <c r="G675" s="171">
        <v>0.0</v>
      </c>
      <c r="H675" s="230">
        <v>6561.379811643897</v>
      </c>
      <c r="I675" s="232">
        <v>0.0</v>
      </c>
      <c r="J675" s="170">
        <v>51918.219000000005</v>
      </c>
    </row>
    <row r="676">
      <c r="A676" s="229">
        <v>42816.0</v>
      </c>
      <c r="B676" s="221">
        <v>0.017697509132330536</v>
      </c>
      <c r="C676" s="221">
        <v>0.012</v>
      </c>
      <c r="D676" s="221">
        <v>0.029697509132330536</v>
      </c>
      <c r="E676" s="221">
        <v>6.484677787168408E-5</v>
      </c>
      <c r="F676" s="232">
        <v>0.6821801917949415</v>
      </c>
      <c r="G676" s="171">
        <v>0.0</v>
      </c>
      <c r="H676" s="230">
        <v>6560.697631452102</v>
      </c>
      <c r="I676" s="232">
        <v>0.0</v>
      </c>
      <c r="J676" s="170">
        <v>52018.465000000004</v>
      </c>
    </row>
    <row r="677">
      <c r="A677" s="229">
        <v>42815.0</v>
      </c>
      <c r="B677" s="221">
        <v>0.017694421190527124</v>
      </c>
      <c r="C677" s="221">
        <v>0.012</v>
      </c>
      <c r="D677" s="221">
        <v>0.029694421190527124</v>
      </c>
      <c r="E677" s="221">
        <v>6.484677787168408E-5</v>
      </c>
      <c r="F677" s="232">
        <v>0.6821801917949415</v>
      </c>
      <c r="G677" s="171">
        <v>0.0</v>
      </c>
      <c r="H677" s="230">
        <v>6560.015451260307</v>
      </c>
      <c r="I677" s="232">
        <v>0.0</v>
      </c>
      <c r="J677" s="170">
        <v>51815.645</v>
      </c>
    </row>
    <row r="678">
      <c r="A678" s="229">
        <v>42814.0</v>
      </c>
      <c r="B678" s="221">
        <v>0.017691333248723712</v>
      </c>
      <c r="C678" s="221">
        <v>0.012</v>
      </c>
      <c r="D678" s="221">
        <v>0.029691333248723712</v>
      </c>
      <c r="E678" s="221">
        <v>6.484677787168408E-5</v>
      </c>
      <c r="F678" s="232">
        <v>0.6821801917949415</v>
      </c>
      <c r="G678" s="171">
        <v>0.0</v>
      </c>
      <c r="H678" s="230">
        <v>6559.333271068512</v>
      </c>
      <c r="I678" s="232">
        <v>0.0</v>
      </c>
      <c r="J678" s="170">
        <v>51852.998999999996</v>
      </c>
    </row>
    <row r="679">
      <c r="A679" s="229">
        <v>42811.0</v>
      </c>
      <c r="B679" s="221">
        <v>0.0176882453069203</v>
      </c>
      <c r="C679" s="221">
        <v>0.012</v>
      </c>
      <c r="D679" s="221">
        <v>0.0296882453069203</v>
      </c>
      <c r="E679" s="221">
        <v>6.484677787168408E-5</v>
      </c>
      <c r="F679" s="232">
        <v>0.6821801917949415</v>
      </c>
      <c r="G679" s="171">
        <v>0.0</v>
      </c>
      <c r="H679" s="230">
        <v>6558.651090876717</v>
      </c>
      <c r="I679" s="232">
        <v>0.0</v>
      </c>
      <c r="J679" s="170">
        <v>51726.562999999995</v>
      </c>
    </row>
    <row r="680">
      <c r="A680" s="229">
        <v>42810.0</v>
      </c>
      <c r="B680" s="221">
        <v>0.017685157365116888</v>
      </c>
      <c r="C680" s="221">
        <v>0.012</v>
      </c>
      <c r="D680" s="221">
        <v>0.02968515736511689</v>
      </c>
      <c r="E680" s="221">
        <v>6.484677787168408E-5</v>
      </c>
      <c r="F680" s="232">
        <v>0.6821801917949415</v>
      </c>
      <c r="G680" s="171">
        <v>0.0</v>
      </c>
      <c r="H680" s="230">
        <v>6557.968910684922</v>
      </c>
      <c r="I680" s="232">
        <v>0.0</v>
      </c>
      <c r="J680" s="170">
        <v>51733.76699999999</v>
      </c>
    </row>
    <row r="681">
      <c r="A681" s="229">
        <v>42809.0</v>
      </c>
      <c r="B681" s="221">
        <v>0.017682069423313476</v>
      </c>
      <c r="C681" s="221">
        <v>0.012</v>
      </c>
      <c r="D681" s="221">
        <v>0.029682069423313476</v>
      </c>
      <c r="E681" s="221">
        <v>6.484677787168408E-5</v>
      </c>
      <c r="F681" s="232">
        <v>0.6821801917949415</v>
      </c>
      <c r="G681" s="171">
        <v>0.0</v>
      </c>
      <c r="H681" s="230">
        <v>6557.286730493127</v>
      </c>
      <c r="I681" s="232">
        <v>0.0</v>
      </c>
      <c r="J681" s="170">
        <v>51418.506</v>
      </c>
    </row>
    <row r="682">
      <c r="A682" s="229">
        <v>42808.0</v>
      </c>
      <c r="B682" s="221">
        <v>0.017678981481510064</v>
      </c>
      <c r="C682" s="221">
        <v>0.012</v>
      </c>
      <c r="D682" s="221">
        <v>0.029678981481510065</v>
      </c>
      <c r="E682" s="221">
        <v>6.484677787168408E-5</v>
      </c>
      <c r="F682" s="232">
        <v>0.6821801917949415</v>
      </c>
      <c r="G682" s="171">
        <v>0.0</v>
      </c>
      <c r="H682" s="230">
        <v>6556.604550301332</v>
      </c>
      <c r="I682" s="232">
        <v>0.0</v>
      </c>
      <c r="J682" s="170">
        <v>51444.84299999999</v>
      </c>
    </row>
    <row r="683">
      <c r="A683" s="229">
        <v>42807.0</v>
      </c>
      <c r="B683" s="221">
        <v>0.017675893539706652</v>
      </c>
      <c r="C683" s="221">
        <v>0.012</v>
      </c>
      <c r="D683" s="221">
        <v>0.029675893539706653</v>
      </c>
      <c r="E683" s="221">
        <v>6.484677787168408E-5</v>
      </c>
      <c r="F683" s="232">
        <v>0.6821801917949415</v>
      </c>
      <c r="G683" s="171">
        <v>0.0</v>
      </c>
      <c r="H683" s="230">
        <v>6555.922370109537</v>
      </c>
      <c r="I683" s="232">
        <v>0.0</v>
      </c>
      <c r="J683" s="170">
        <v>51375.229</v>
      </c>
    </row>
    <row r="684">
      <c r="A684" s="229">
        <v>42804.0</v>
      </c>
      <c r="B684" s="221">
        <v>0.01767280559790324</v>
      </c>
      <c r="C684" s="221">
        <v>0.012</v>
      </c>
      <c r="D684" s="221">
        <v>0.02967280559790324</v>
      </c>
      <c r="E684" s="221">
        <v>6.484677787168408E-5</v>
      </c>
      <c r="F684" s="232">
        <v>0.6821801917949415</v>
      </c>
      <c r="G684" s="171">
        <v>0.0</v>
      </c>
      <c r="H684" s="230">
        <v>6555.240189917742</v>
      </c>
      <c r="I684" s="232">
        <v>0.0</v>
      </c>
      <c r="J684" s="170">
        <v>51196.176</v>
      </c>
    </row>
    <row r="685">
      <c r="A685" s="229">
        <v>42803.0</v>
      </c>
      <c r="B685" s="221">
        <v>0.01766971765609983</v>
      </c>
      <c r="C685" s="221">
        <v>0.012</v>
      </c>
      <c r="D685" s="221">
        <v>0.02966971765609983</v>
      </c>
      <c r="E685" s="221">
        <v>6.484677787168408E-5</v>
      </c>
      <c r="F685" s="232">
        <v>0.6821801917949415</v>
      </c>
      <c r="G685" s="171">
        <v>0.0</v>
      </c>
      <c r="H685" s="230">
        <v>6554.558009725947</v>
      </c>
      <c r="I685" s="232">
        <v>0.0</v>
      </c>
      <c r="J685" s="170">
        <v>51722.808</v>
      </c>
    </row>
    <row r="686">
      <c r="A686" s="229">
        <v>42802.0</v>
      </c>
      <c r="B686" s="221">
        <v>0.017666629714296417</v>
      </c>
      <c r="C686" s="221">
        <v>0.012</v>
      </c>
      <c r="D686" s="221">
        <v>0.029666629714296417</v>
      </c>
      <c r="E686" s="221">
        <v>6.484677787168408E-5</v>
      </c>
      <c r="F686" s="232">
        <v>0.6821801917949415</v>
      </c>
      <c r="G686" s="171">
        <v>0.0</v>
      </c>
      <c r="H686" s="230">
        <v>6553.875829534152</v>
      </c>
      <c r="I686" s="232">
        <v>0.0</v>
      </c>
      <c r="J686" s="170">
        <v>52042.236999999994</v>
      </c>
    </row>
    <row r="687">
      <c r="A687" s="229">
        <v>42801.0</v>
      </c>
      <c r="B687" s="21">
        <v>0.017663541772493005</v>
      </c>
      <c r="C687" s="21">
        <v>0.012</v>
      </c>
      <c r="D687" s="159">
        <v>0.029663541772493005</v>
      </c>
      <c r="E687" s="159">
        <v>-0.009114718993693285</v>
      </c>
      <c r="F687" s="232">
        <v>-183.05457889601803</v>
      </c>
      <c r="G687" s="171">
        <v>0.0</v>
      </c>
      <c r="H687" s="230">
        <v>6553.193649342357</v>
      </c>
      <c r="I687" s="232">
        <v>0.0</v>
      </c>
      <c r="J687" s="170">
        <v>52222.795</v>
      </c>
    </row>
    <row r="688">
      <c r="A688" s="229">
        <v>42800.0</v>
      </c>
      <c r="B688" s="221">
        <v>0.01849215259010148</v>
      </c>
      <c r="C688" s="221">
        <v>0.012</v>
      </c>
      <c r="D688" s="221">
        <v>0.030492152590101476</v>
      </c>
      <c r="E688" s="221">
        <v>-0.009114718993693285</v>
      </c>
      <c r="F688" s="232">
        <v>-183.05457889602258</v>
      </c>
      <c r="G688" s="171">
        <v>0.0</v>
      </c>
      <c r="H688" s="230">
        <v>6736.248228238375</v>
      </c>
      <c r="I688" s="232">
        <v>0.0</v>
      </c>
      <c r="J688" s="170">
        <v>52481.078</v>
      </c>
    </row>
    <row r="689">
      <c r="A689" s="229">
        <v>42797.0</v>
      </c>
      <c r="B689" s="221">
        <v>0.01932076340770996</v>
      </c>
      <c r="C689" s="221">
        <v>0.012</v>
      </c>
      <c r="D689" s="221">
        <v>0.03132076340770996</v>
      </c>
      <c r="E689" s="221">
        <v>-0.009114718993693285</v>
      </c>
      <c r="F689" s="232">
        <v>-183.05457889602258</v>
      </c>
      <c r="G689" s="171">
        <v>0.0</v>
      </c>
      <c r="H689" s="230">
        <v>6919.302807134398</v>
      </c>
      <c r="I689" s="232">
        <v>0.0</v>
      </c>
      <c r="J689" s="170">
        <v>52540.972</v>
      </c>
    </row>
    <row r="690">
      <c r="A690" s="229">
        <v>42796.0</v>
      </c>
      <c r="B690" s="221">
        <v>0.020149374225318442</v>
      </c>
      <c r="C690" s="221">
        <v>0.012</v>
      </c>
      <c r="D690" s="221">
        <v>0.03214937422531844</v>
      </c>
      <c r="E690" s="221">
        <v>-0.009114718993693285</v>
      </c>
      <c r="F690" s="232">
        <v>-183.05457889602258</v>
      </c>
      <c r="G690" s="171">
        <v>0.0</v>
      </c>
      <c r="H690" s="230">
        <v>7102.3573860304205</v>
      </c>
      <c r="I690" s="232">
        <v>0.0</v>
      </c>
      <c r="J690" s="170">
        <v>53108.304000000004</v>
      </c>
    </row>
    <row r="691">
      <c r="A691" s="229">
        <v>42795.0</v>
      </c>
      <c r="B691" s="221">
        <v>0.020977985042926924</v>
      </c>
      <c r="C691" s="221">
        <v>0.012</v>
      </c>
      <c r="D691" s="221">
        <v>0.03297798504292692</v>
      </c>
      <c r="E691" s="221">
        <v>-0.009114718993693285</v>
      </c>
      <c r="F691" s="232">
        <v>-183.05457889602258</v>
      </c>
      <c r="G691" s="171">
        <v>0.0</v>
      </c>
      <c r="H691" s="230">
        <v>7285.411964926443</v>
      </c>
      <c r="I691" s="232">
        <v>0.0</v>
      </c>
      <c r="J691" s="170">
        <v>53141.799000000006</v>
      </c>
    </row>
    <row r="692">
      <c r="A692" s="229">
        <v>42794.0</v>
      </c>
      <c r="B692" s="221">
        <v>0.021806595860535405</v>
      </c>
      <c r="C692" s="221">
        <v>0.012</v>
      </c>
      <c r="D692" s="221">
        <v>0.0338065958605354</v>
      </c>
      <c r="E692" s="221">
        <v>-0.009114718993693285</v>
      </c>
      <c r="F692" s="232">
        <v>-183.05457889602258</v>
      </c>
      <c r="G692" s="171">
        <v>0.0</v>
      </c>
      <c r="H692" s="230">
        <v>7468.466543822466</v>
      </c>
      <c r="I692" s="232">
        <v>0.0</v>
      </c>
      <c r="J692" s="170">
        <v>53257.061</v>
      </c>
    </row>
    <row r="693">
      <c r="A693" s="229">
        <v>42793.0</v>
      </c>
      <c r="B693" s="221">
        <v>0.022635206678143886</v>
      </c>
      <c r="C693" s="221">
        <v>0.012</v>
      </c>
      <c r="D693" s="221">
        <v>0.03463520667814388</v>
      </c>
      <c r="E693" s="221">
        <v>-0.009114718993693285</v>
      </c>
      <c r="F693" s="232">
        <v>-183.05457889602258</v>
      </c>
      <c r="G693" s="171">
        <v>0.0</v>
      </c>
      <c r="H693" s="230">
        <v>7651.521122718488</v>
      </c>
      <c r="I693" s="232">
        <v>0.0</v>
      </c>
      <c r="J693" s="170">
        <v>53415.26</v>
      </c>
    </row>
    <row r="694">
      <c r="A694" s="229">
        <v>42790.0</v>
      </c>
      <c r="B694" s="221">
        <v>0.023463817495752368</v>
      </c>
      <c r="C694" s="221">
        <v>0.012</v>
      </c>
      <c r="D694" s="221">
        <v>0.035463817495752364</v>
      </c>
      <c r="E694" s="221">
        <v>-0.009114718993693285</v>
      </c>
      <c r="F694" s="232">
        <v>-183.05457889602258</v>
      </c>
      <c r="G694" s="171">
        <v>0.0</v>
      </c>
      <c r="H694" s="230">
        <v>7834.575701614511</v>
      </c>
      <c r="I694" s="232">
        <v>0.0</v>
      </c>
      <c r="J694" s="170">
        <v>53448.011999999995</v>
      </c>
    </row>
    <row r="695">
      <c r="A695" s="229">
        <v>42789.0</v>
      </c>
      <c r="B695" s="221">
        <v>0.02429242831336085</v>
      </c>
      <c r="C695" s="221">
        <v>0.012</v>
      </c>
      <c r="D695" s="221">
        <v>0.036292428313360846</v>
      </c>
      <c r="E695" s="221">
        <v>-0.009114718993693285</v>
      </c>
      <c r="F695" s="232">
        <v>-183.05457889602258</v>
      </c>
      <c r="G695" s="171">
        <v>0.0</v>
      </c>
      <c r="H695" s="230">
        <v>8017.630280510533</v>
      </c>
      <c r="I695" s="232">
        <v>0.0</v>
      </c>
      <c r="J695" s="170">
        <v>53114.863999999994</v>
      </c>
    </row>
    <row r="696">
      <c r="A696" s="229">
        <v>42788.0</v>
      </c>
      <c r="B696" s="221">
        <v>0.02512103913096933</v>
      </c>
      <c r="C696" s="221">
        <v>0.012</v>
      </c>
      <c r="D696" s="221">
        <v>0.03712103913096933</v>
      </c>
      <c r="E696" s="221">
        <v>-0.009114718993693285</v>
      </c>
      <c r="F696" s="232">
        <v>-183.05457889602258</v>
      </c>
      <c r="G696" s="171">
        <v>0.0</v>
      </c>
      <c r="H696" s="230">
        <v>8200.684859406556</v>
      </c>
      <c r="I696" s="232">
        <v>0.0</v>
      </c>
      <c r="J696" s="170">
        <v>52915.802</v>
      </c>
    </row>
    <row r="697">
      <c r="A697" s="229">
        <v>42787.0</v>
      </c>
      <c r="B697" s="221">
        <v>0.025949649948577812</v>
      </c>
      <c r="C697" s="221">
        <v>0.012</v>
      </c>
      <c r="D697" s="221">
        <v>0.03794964994857781</v>
      </c>
      <c r="E697" s="221">
        <v>-0.009114718993693285</v>
      </c>
      <c r="F697" s="232">
        <v>-183.05457889602258</v>
      </c>
      <c r="G697" s="171">
        <v>0.0</v>
      </c>
      <c r="H697" s="230">
        <v>8383.739438302578</v>
      </c>
      <c r="I697" s="232">
        <v>0.0</v>
      </c>
      <c r="J697" s="170">
        <v>52997.511999999995</v>
      </c>
    </row>
    <row r="698">
      <c r="A698" s="229">
        <v>42786.0</v>
      </c>
      <c r="B698" s="21">
        <v>0.026778260766186293</v>
      </c>
      <c r="C698" s="21">
        <v>0.012</v>
      </c>
      <c r="D698" s="159">
        <v>0.03877826076618629</v>
      </c>
      <c r="E698" s="159">
        <v>7.017862405224451E-5</v>
      </c>
      <c r="F698" s="232">
        <v>2.583946970917168</v>
      </c>
      <c r="G698" s="171">
        <v>0.0</v>
      </c>
      <c r="H698" s="230">
        <v>8566.794017198601</v>
      </c>
      <c r="I698" s="232">
        <v>0.0</v>
      </c>
      <c r="J698" s="170">
        <v>53215.134</v>
      </c>
    </row>
    <row r="699">
      <c r="A699" s="229">
        <v>42783.0</v>
      </c>
      <c r="B699" s="221">
        <v>0.026766564328844247</v>
      </c>
      <c r="C699" s="221">
        <v>0.012</v>
      </c>
      <c r="D699" s="221">
        <v>0.03876656432884426</v>
      </c>
      <c r="E699" s="221">
        <v>7.017862405224451E-5</v>
      </c>
      <c r="F699" s="232">
        <v>2.583946970920806</v>
      </c>
      <c r="G699" s="171">
        <v>0.0</v>
      </c>
      <c r="H699" s="230">
        <v>8564.210070227684</v>
      </c>
      <c r="I699" s="232">
        <v>0.0</v>
      </c>
      <c r="J699" s="170">
        <v>53185.692</v>
      </c>
    </row>
    <row r="700">
      <c r="A700" s="229">
        <v>42782.0</v>
      </c>
      <c r="B700" s="221">
        <v>0.026754867891502207</v>
      </c>
      <c r="C700" s="221">
        <v>0.012</v>
      </c>
      <c r="D700" s="221">
        <v>0.03875486789150222</v>
      </c>
      <c r="E700" s="221">
        <v>7.017862405224451E-5</v>
      </c>
      <c r="F700" s="232">
        <v>2.583946970920806</v>
      </c>
      <c r="G700" s="171">
        <v>0.0</v>
      </c>
      <c r="H700" s="230">
        <v>8561.626123256763</v>
      </c>
      <c r="I700" s="232">
        <v>0.0</v>
      </c>
      <c r="J700" s="170">
        <v>52998.88</v>
      </c>
    </row>
    <row r="701">
      <c r="A701" s="229">
        <v>42781.0</v>
      </c>
      <c r="B701" s="221">
        <v>0.026743171454160167</v>
      </c>
      <c r="C701" s="221">
        <v>0.012</v>
      </c>
      <c r="D701" s="221">
        <v>0.038743171454160175</v>
      </c>
      <c r="E701" s="221">
        <v>7.017862405224451E-5</v>
      </c>
      <c r="F701" s="232">
        <v>2.583946970920806</v>
      </c>
      <c r="G701" s="171">
        <v>0.0</v>
      </c>
      <c r="H701" s="230">
        <v>8559.042176285842</v>
      </c>
      <c r="I701" s="232">
        <v>0.0</v>
      </c>
      <c r="J701" s="170">
        <v>53048.036</v>
      </c>
    </row>
    <row r="702">
      <c r="A702" s="229">
        <v>42780.0</v>
      </c>
      <c r="B702" s="221">
        <v>0.026731475016818128</v>
      </c>
      <c r="C702" s="221">
        <v>0.012</v>
      </c>
      <c r="D702" s="221">
        <v>0.03873147501681813</v>
      </c>
      <c r="E702" s="221">
        <v>7.017862405224451E-5</v>
      </c>
      <c r="F702" s="232">
        <v>2.583946970920806</v>
      </c>
      <c r="G702" s="171">
        <v>0.0</v>
      </c>
      <c r="H702" s="230">
        <v>8556.458229314921</v>
      </c>
      <c r="I702" s="232">
        <v>0.0</v>
      </c>
      <c r="J702" s="170">
        <v>52992.16799999999</v>
      </c>
    </row>
    <row r="703">
      <c r="A703" s="229">
        <v>42779.0</v>
      </c>
      <c r="B703" s="221">
        <v>0.026719778579476088</v>
      </c>
      <c r="C703" s="221">
        <v>0.012</v>
      </c>
      <c r="D703" s="221">
        <v>0.03871977857947609</v>
      </c>
      <c r="E703" s="221">
        <v>7.017862405224451E-5</v>
      </c>
      <c r="F703" s="232">
        <v>2.583946970918987</v>
      </c>
      <c r="G703" s="171">
        <v>0.0</v>
      </c>
      <c r="H703" s="230">
        <v>8553.874282344</v>
      </c>
      <c r="I703" s="232">
        <v>0.0</v>
      </c>
      <c r="J703" s="170">
        <v>52818.00199999999</v>
      </c>
    </row>
    <row r="704">
      <c r="A704" s="229">
        <v>42776.0</v>
      </c>
      <c r="B704" s="21">
        <v>0.02670808214213405</v>
      </c>
      <c r="C704" s="21">
        <v>0.012</v>
      </c>
      <c r="D704" s="159">
        <v>0.038708082142134045</v>
      </c>
      <c r="E704" s="159">
        <v>0.011948226836911068</v>
      </c>
      <c r="F704" s="232">
        <v>329.94645762915206</v>
      </c>
      <c r="G704" s="171">
        <v>0.0</v>
      </c>
      <c r="H704" s="230">
        <v>8551.290335373082</v>
      </c>
      <c r="I704" s="232">
        <v>0.0</v>
      </c>
      <c r="J704" s="170">
        <v>52929.407999999996</v>
      </c>
    </row>
    <row r="705">
      <c r="A705" s="229">
        <v>42775.0</v>
      </c>
      <c r="B705" s="221">
        <v>0.025227053787520173</v>
      </c>
      <c r="C705" s="221">
        <v>0.011987500000000003</v>
      </c>
      <c r="D705" s="221">
        <v>0.03721455378752016</v>
      </c>
      <c r="E705" s="233">
        <v>0.011948226836911068</v>
      </c>
      <c r="F705" s="232">
        <v>329.94645762915115</v>
      </c>
      <c r="G705" s="171">
        <v>0.0</v>
      </c>
      <c r="H705" s="230">
        <v>8221.34387774393</v>
      </c>
      <c r="I705" s="232">
        <v>0.0</v>
      </c>
      <c r="J705" s="170">
        <v>52803.942</v>
      </c>
    </row>
    <row r="706">
      <c r="A706" s="229">
        <v>42774.0</v>
      </c>
      <c r="B706" s="221">
        <v>0.023746025432906288</v>
      </c>
      <c r="C706" s="221">
        <v>0.011975000000000003</v>
      </c>
      <c r="D706" s="221">
        <v>0.03572102543290628</v>
      </c>
      <c r="E706" s="233">
        <v>0.011948226836911068</v>
      </c>
      <c r="F706" s="232">
        <v>329.94645762915206</v>
      </c>
      <c r="G706" s="171">
        <v>0.0</v>
      </c>
      <c r="H706" s="230">
        <v>7891.3974201147785</v>
      </c>
      <c r="I706" s="232">
        <v>0.0</v>
      </c>
      <c r="J706" s="170">
        <v>52828.952</v>
      </c>
    </row>
    <row r="707">
      <c r="A707" s="229">
        <v>42773.0</v>
      </c>
      <c r="B707" s="221">
        <v>0.022264997078292402</v>
      </c>
      <c r="C707" s="221">
        <v>0.011962500000000003</v>
      </c>
      <c r="D707" s="221">
        <v>0.034227497078292396</v>
      </c>
      <c r="E707" s="233">
        <v>0.011948226836911068</v>
      </c>
      <c r="F707" s="232">
        <v>329.94645762915206</v>
      </c>
      <c r="G707" s="171">
        <v>0.0</v>
      </c>
      <c r="H707" s="230">
        <v>7561.450962485626</v>
      </c>
      <c r="I707" s="232">
        <v>0.0</v>
      </c>
      <c r="J707" s="170">
        <v>52656.64</v>
      </c>
    </row>
    <row r="708">
      <c r="A708" s="229">
        <v>42772.0</v>
      </c>
      <c r="B708" s="221">
        <v>0.020783968723678516</v>
      </c>
      <c r="C708" s="221">
        <v>0.011950000000000002</v>
      </c>
      <c r="D708" s="221">
        <v>0.032733968723678515</v>
      </c>
      <c r="E708" s="233">
        <v>0.011948226836911068</v>
      </c>
      <c r="F708" s="232">
        <v>329.94645762915206</v>
      </c>
      <c r="G708" s="171">
        <v>0.0</v>
      </c>
      <c r="H708" s="230">
        <v>7231.504504856474</v>
      </c>
      <c r="I708" s="232">
        <v>0.0</v>
      </c>
      <c r="J708" s="170">
        <v>52245.87</v>
      </c>
    </row>
    <row r="709">
      <c r="A709" s="229">
        <v>42769.0</v>
      </c>
      <c r="B709" s="221">
        <v>0.01930294036906463</v>
      </c>
      <c r="C709" s="221">
        <v>0.011937500000000002</v>
      </c>
      <c r="D709" s="221">
        <v>0.03124044036906463</v>
      </c>
      <c r="E709" s="233">
        <v>0.011948226836911068</v>
      </c>
      <c r="F709" s="232">
        <v>329.94645762915206</v>
      </c>
      <c r="G709" s="171">
        <v>0.0</v>
      </c>
      <c r="H709" s="230">
        <v>6901.558047227322</v>
      </c>
      <c r="I709" s="232">
        <v>0.0</v>
      </c>
      <c r="J709" s="170">
        <v>51769.064</v>
      </c>
    </row>
    <row r="710">
      <c r="A710" s="229">
        <v>42768.0</v>
      </c>
      <c r="B710" s="221">
        <v>0.017821912014450745</v>
      </c>
      <c r="C710" s="221">
        <v>0.011925000000000002</v>
      </c>
      <c r="D710" s="221">
        <v>0.029746912014450747</v>
      </c>
      <c r="E710" s="233">
        <v>0.011948226836911068</v>
      </c>
      <c r="F710" s="232">
        <v>329.94645762915206</v>
      </c>
      <c r="G710" s="171">
        <v>0.0</v>
      </c>
      <c r="H710" s="230">
        <v>6571.61158959817</v>
      </c>
      <c r="I710" s="232">
        <v>0.0</v>
      </c>
      <c r="J710" s="170">
        <v>51569.742</v>
      </c>
    </row>
    <row r="711">
      <c r="A711" s="229">
        <v>42767.0</v>
      </c>
      <c r="B711" s="221">
        <v>0.01634088365983686</v>
      </c>
      <c r="C711" s="221">
        <v>0.011912500000000001</v>
      </c>
      <c r="D711" s="221">
        <v>0.028253383659836862</v>
      </c>
      <c r="E711" s="233">
        <v>0.011948226836911068</v>
      </c>
      <c r="F711" s="232">
        <v>329.94645762915206</v>
      </c>
      <c r="G711" s="171">
        <v>0.0</v>
      </c>
      <c r="H711" s="230">
        <v>6241.665131969018</v>
      </c>
      <c r="I711" s="232">
        <v>0.0</v>
      </c>
      <c r="J711" s="170">
        <v>51398.018</v>
      </c>
    </row>
    <row r="712">
      <c r="A712" s="229">
        <v>42766.0</v>
      </c>
      <c r="B712" s="21">
        <v>0.014859855305222975</v>
      </c>
      <c r="C712" s="21">
        <v>0.0119</v>
      </c>
      <c r="D712" s="159">
        <v>0.026759855305222978</v>
      </c>
      <c r="E712" s="159">
        <v>0.006180681136144374</v>
      </c>
      <c r="F712" s="232">
        <v>26.258081566816145</v>
      </c>
      <c r="G712" s="171">
        <v>0.0</v>
      </c>
      <c r="H712" s="230">
        <v>5911.718674339866</v>
      </c>
      <c r="I712" s="232">
        <v>0.0</v>
      </c>
      <c r="J712" s="170">
        <v>51457.831999999995</v>
      </c>
    </row>
    <row r="713">
      <c r="A713" s="229">
        <v>42765.0</v>
      </c>
      <c r="B713" s="221">
        <v>0.014760226821835587</v>
      </c>
      <c r="C713" s="221">
        <v>0.011880769230769252</v>
      </c>
      <c r="D713" s="221">
        <v>0.026640996052604837</v>
      </c>
      <c r="E713" s="233">
        <v>0.006180681136144374</v>
      </c>
      <c r="F713" s="232">
        <v>26.258081566820692</v>
      </c>
      <c r="G713" s="171">
        <v>0.0</v>
      </c>
      <c r="H713" s="230">
        <v>5885.46059277305</v>
      </c>
      <c r="I713" s="232">
        <v>0.0</v>
      </c>
      <c r="J713" s="170">
        <v>51480.806</v>
      </c>
    </row>
    <row r="714">
      <c r="A714" s="229">
        <v>42762.0</v>
      </c>
      <c r="B714" s="221">
        <v>0.014660598338448195</v>
      </c>
      <c r="C714" s="221">
        <v>0.011861538461538482</v>
      </c>
      <c r="D714" s="221">
        <v>0.026522136799986676</v>
      </c>
      <c r="E714" s="233">
        <v>0.006180681136144374</v>
      </c>
      <c r="F714" s="232">
        <v>26.258081566820692</v>
      </c>
      <c r="G714" s="171">
        <v>0.0</v>
      </c>
      <c r="H714" s="230">
        <v>5859.202511206229</v>
      </c>
      <c r="I714" s="232">
        <v>0.0</v>
      </c>
      <c r="J714" s="170">
        <v>51302.426</v>
      </c>
    </row>
    <row r="715">
      <c r="A715" s="229">
        <v>42761.0</v>
      </c>
      <c r="B715" s="221">
        <v>0.014560969855060803</v>
      </c>
      <c r="C715" s="221">
        <v>0.011842307692307713</v>
      </c>
      <c r="D715" s="221">
        <v>0.026403277547368514</v>
      </c>
      <c r="E715" s="233">
        <v>0.006180681136144374</v>
      </c>
      <c r="F715" s="232">
        <v>26.258081566820692</v>
      </c>
      <c r="G715" s="171">
        <v>0.0</v>
      </c>
      <c r="H715" s="230">
        <v>5832.944429639409</v>
      </c>
      <c r="I715" s="232">
        <v>0.0</v>
      </c>
      <c r="J715" s="170">
        <v>51362.613999999994</v>
      </c>
    </row>
    <row r="716">
      <c r="A716" s="229">
        <v>42760.0</v>
      </c>
      <c r="B716" s="221">
        <v>0.014461341371673412</v>
      </c>
      <c r="C716" s="221">
        <v>0.011823076923076943</v>
      </c>
      <c r="D716" s="221">
        <v>0.026284418294750353</v>
      </c>
      <c r="E716" s="233">
        <v>0.006180681136144374</v>
      </c>
      <c r="F716" s="232">
        <v>26.258081566820692</v>
      </c>
      <c r="G716" s="171">
        <v>0.0</v>
      </c>
      <c r="H716" s="230">
        <v>5806.686348072588</v>
      </c>
      <c r="I716" s="232">
        <v>0.0</v>
      </c>
      <c r="J716" s="170">
        <v>51366.494</v>
      </c>
    </row>
    <row r="717">
      <c r="A717" s="229">
        <v>42759.0</v>
      </c>
      <c r="B717" s="221">
        <v>0.01436171288828602</v>
      </c>
      <c r="C717" s="221">
        <v>0.011803846153846173</v>
      </c>
      <c r="D717" s="221">
        <v>0.02616555904213219</v>
      </c>
      <c r="E717" s="233">
        <v>0.006180681136144374</v>
      </c>
      <c r="F717" s="232">
        <v>26.258081566820692</v>
      </c>
      <c r="G717" s="171">
        <v>0.0</v>
      </c>
      <c r="H717" s="230">
        <v>5780.428266505767</v>
      </c>
      <c r="I717" s="232">
        <v>0.0</v>
      </c>
      <c r="J717" s="170">
        <v>51682.725999999995</v>
      </c>
    </row>
    <row r="718">
      <c r="A718" s="229">
        <v>42758.0</v>
      </c>
      <c r="B718" s="221">
        <v>0.014262084404898628</v>
      </c>
      <c r="C718" s="221">
        <v>0.011784615384615404</v>
      </c>
      <c r="D718" s="221">
        <v>0.02604669978951403</v>
      </c>
      <c r="E718" s="233">
        <v>0.006180681136144374</v>
      </c>
      <c r="F718" s="232">
        <v>26.258081566820692</v>
      </c>
      <c r="G718" s="171">
        <v>0.0</v>
      </c>
      <c r="H718" s="230">
        <v>5754.1701849389465</v>
      </c>
      <c r="I718" s="232">
        <v>0.0</v>
      </c>
      <c r="J718" s="170">
        <v>51851.76</v>
      </c>
    </row>
    <row r="719">
      <c r="A719" s="229">
        <v>42755.0</v>
      </c>
      <c r="B719" s="221">
        <v>0.014162455921511236</v>
      </c>
      <c r="C719" s="221">
        <v>0.011765384615384634</v>
      </c>
      <c r="D719" s="221">
        <v>0.02592784053689587</v>
      </c>
      <c r="E719" s="233">
        <v>0.006180681136144374</v>
      </c>
      <c r="F719" s="232">
        <v>26.258081566820692</v>
      </c>
      <c r="G719" s="171">
        <v>0.0</v>
      </c>
      <c r="H719" s="230">
        <v>5727.912103372126</v>
      </c>
      <c r="I719" s="232">
        <v>0.0</v>
      </c>
      <c r="J719" s="170">
        <v>51741.93200000001</v>
      </c>
    </row>
    <row r="720">
      <c r="A720" s="229">
        <v>42754.0</v>
      </c>
      <c r="B720" s="221">
        <v>0.014062827438123844</v>
      </c>
      <c r="C720" s="221">
        <v>0.011746153846153864</v>
      </c>
      <c r="D720" s="221">
        <v>0.025808981284277707</v>
      </c>
      <c r="E720" s="233">
        <v>0.006180681136144374</v>
      </c>
      <c r="F720" s="232">
        <v>26.258081566820692</v>
      </c>
      <c r="G720" s="171">
        <v>0.0</v>
      </c>
      <c r="H720" s="230">
        <v>5701.654021805305</v>
      </c>
      <c r="I720" s="232">
        <v>0.0</v>
      </c>
      <c r="J720" s="170">
        <v>51899.048</v>
      </c>
    </row>
    <row r="721">
      <c r="A721" s="229">
        <v>42753.0</v>
      </c>
      <c r="B721" s="221">
        <v>0.013963198954736453</v>
      </c>
      <c r="C721" s="221">
        <v>0.011726923076923095</v>
      </c>
      <c r="D721" s="221">
        <v>0.025690122031659546</v>
      </c>
      <c r="E721" s="233">
        <v>0.006180681136144374</v>
      </c>
      <c r="F721" s="232">
        <v>26.258081566820692</v>
      </c>
      <c r="G721" s="171">
        <v>0.0</v>
      </c>
      <c r="H721" s="230">
        <v>5675.395940238484</v>
      </c>
      <c r="I721" s="232">
        <v>0.0</v>
      </c>
      <c r="J721" s="170">
        <v>52099.162000000004</v>
      </c>
    </row>
    <row r="722">
      <c r="A722" s="229">
        <v>42752.0</v>
      </c>
      <c r="B722" s="221">
        <v>0.013863570471349061</v>
      </c>
      <c r="C722" s="221">
        <v>0.011707692307692325</v>
      </c>
      <c r="D722" s="221">
        <v>0.025571262779041384</v>
      </c>
      <c r="E722" s="233">
        <v>0.006180681136144374</v>
      </c>
      <c r="F722" s="232">
        <v>26.258081566820692</v>
      </c>
      <c r="G722" s="171">
        <v>0.0</v>
      </c>
      <c r="H722" s="230">
        <v>5649.137858671664</v>
      </c>
      <c r="I722" s="232">
        <v>0.0</v>
      </c>
      <c r="J722" s="170">
        <v>52063.398</v>
      </c>
    </row>
    <row r="723">
      <c r="A723" s="229">
        <v>42751.0</v>
      </c>
      <c r="B723" s="221">
        <v>0.013763941987961669</v>
      </c>
      <c r="C723" s="221">
        <v>0.011688461538461556</v>
      </c>
      <c r="D723" s="221">
        <v>0.025452403526423223</v>
      </c>
      <c r="E723" s="233">
        <v>0.006180681136144374</v>
      </c>
      <c r="F723" s="232">
        <v>26.258081566820692</v>
      </c>
      <c r="G723" s="171">
        <v>0.0</v>
      </c>
      <c r="H723" s="230">
        <v>5622.879777104843</v>
      </c>
      <c r="I723" s="232">
        <v>0.0</v>
      </c>
      <c r="J723" s="170">
        <v>52203.649999999994</v>
      </c>
    </row>
    <row r="724">
      <c r="A724" s="229">
        <v>42748.0</v>
      </c>
      <c r="B724" s="221">
        <v>0.013664313504574277</v>
      </c>
      <c r="C724" s="221">
        <v>0.011669230769230786</v>
      </c>
      <c r="D724" s="221">
        <v>0.02533354427380506</v>
      </c>
      <c r="E724" s="233">
        <v>0.006180681136144374</v>
      </c>
      <c r="F724" s="232">
        <v>26.258081566820692</v>
      </c>
      <c r="G724" s="171">
        <v>0.0</v>
      </c>
      <c r="H724" s="230">
        <v>5596.621695538022</v>
      </c>
      <c r="I724" s="232">
        <v>0.0</v>
      </c>
      <c r="J724" s="170">
        <v>51842.626</v>
      </c>
    </row>
    <row r="725">
      <c r="A725" s="229">
        <v>42747.0</v>
      </c>
      <c r="B725" s="221">
        <v>0.013564685021186886</v>
      </c>
      <c r="C725" s="221">
        <v>0.011650000000000016</v>
      </c>
      <c r="D725" s="221">
        <v>0.0252146850211869</v>
      </c>
      <c r="E725" s="233">
        <v>0.006180681136144374</v>
      </c>
      <c r="F725" s="232">
        <v>26.258081566820692</v>
      </c>
      <c r="G725" s="171">
        <v>0.0</v>
      </c>
      <c r="H725" s="230">
        <v>5570.363613971202</v>
      </c>
      <c r="I725" s="232">
        <v>0.0</v>
      </c>
      <c r="J725" s="170">
        <v>51892.481999999996</v>
      </c>
    </row>
    <row r="726">
      <c r="A726" s="229">
        <v>42746.0</v>
      </c>
      <c r="B726" s="221">
        <v>0.013465056537799494</v>
      </c>
      <c r="C726" s="221">
        <v>0.011630769230769247</v>
      </c>
      <c r="D726" s="221">
        <v>0.02509582576856874</v>
      </c>
      <c r="E726" s="233">
        <v>0.006180681136144374</v>
      </c>
      <c r="F726" s="232">
        <v>26.258081566820692</v>
      </c>
      <c r="G726" s="171">
        <v>0.0</v>
      </c>
      <c r="H726" s="230">
        <v>5544.105532404381</v>
      </c>
      <c r="I726" s="232">
        <v>0.0</v>
      </c>
      <c r="J726" s="170">
        <v>52170.596</v>
      </c>
    </row>
    <row r="727">
      <c r="A727" s="229">
        <v>42745.0</v>
      </c>
      <c r="B727" s="221">
        <v>0.013365428054412102</v>
      </c>
      <c r="C727" s="221">
        <v>0.011611538461538477</v>
      </c>
      <c r="D727" s="221">
        <v>0.024976966515950577</v>
      </c>
      <c r="E727" s="233">
        <v>0.006180681136144374</v>
      </c>
      <c r="F727" s="232">
        <v>26.258081566820692</v>
      </c>
      <c r="G727" s="171">
        <v>0.0</v>
      </c>
      <c r="H727" s="230">
        <v>5517.84745083756</v>
      </c>
      <c r="I727" s="232">
        <v>0.0</v>
      </c>
      <c r="J727" s="170">
        <v>51914.45</v>
      </c>
    </row>
    <row r="728">
      <c r="A728" s="229">
        <v>42744.0</v>
      </c>
      <c r="B728" s="221">
        <v>0.01326579957102471</v>
      </c>
      <c r="C728" s="221">
        <v>0.011592307692307707</v>
      </c>
      <c r="D728" s="221">
        <v>0.024858107263332416</v>
      </c>
      <c r="E728" s="233">
        <v>0.006180681136144374</v>
      </c>
      <c r="F728" s="232">
        <v>26.258081566820692</v>
      </c>
      <c r="G728" s="171">
        <v>0.0</v>
      </c>
      <c r="H728" s="230">
        <v>5491.58936927074</v>
      </c>
      <c r="I728" s="232">
        <v>0.0</v>
      </c>
      <c r="J728" s="170">
        <v>51768.852</v>
      </c>
    </row>
    <row r="729">
      <c r="A729" s="229">
        <v>42741.0</v>
      </c>
      <c r="B729" s="221">
        <v>0.013166171087637318</v>
      </c>
      <c r="C729" s="221">
        <v>0.011573076923076938</v>
      </c>
      <c r="D729" s="221">
        <v>0.024739248010714254</v>
      </c>
      <c r="E729" s="233">
        <v>0.006180681136144374</v>
      </c>
      <c r="F729" s="232">
        <v>26.258081566820692</v>
      </c>
      <c r="G729" s="171">
        <v>0.0</v>
      </c>
      <c r="H729" s="230">
        <v>5465.331287703919</v>
      </c>
      <c r="I729" s="232">
        <v>0.0</v>
      </c>
      <c r="J729" s="170">
        <v>51544.045999999995</v>
      </c>
    </row>
    <row r="730">
      <c r="A730" s="229">
        <v>42740.0</v>
      </c>
      <c r="B730" s="221">
        <v>0.013066542604249927</v>
      </c>
      <c r="C730" s="221">
        <v>0.011553846153846168</v>
      </c>
      <c r="D730" s="221">
        <v>0.024620388758096093</v>
      </c>
      <c r="E730" s="233">
        <v>0.006180681136144374</v>
      </c>
      <c r="F730" s="232">
        <v>26.258081566820692</v>
      </c>
      <c r="G730" s="171">
        <v>0.0</v>
      </c>
      <c r="H730" s="230">
        <v>5439.073206137098</v>
      </c>
      <c r="I730" s="232">
        <v>0.0</v>
      </c>
      <c r="J730" s="170">
        <v>51681.672000000006</v>
      </c>
    </row>
    <row r="731">
      <c r="A731" s="229">
        <v>42739.0</v>
      </c>
      <c r="B731" s="221">
        <v>0.012966914120862535</v>
      </c>
      <c r="C731" s="221">
        <v>0.011534615384615398</v>
      </c>
      <c r="D731" s="221">
        <v>0.02450152950547793</v>
      </c>
      <c r="E731" s="233">
        <v>0.006180681136144374</v>
      </c>
      <c r="F731" s="232">
        <v>26.258081566820692</v>
      </c>
      <c r="G731" s="171">
        <v>0.0</v>
      </c>
      <c r="H731" s="230">
        <v>5412.8151245702775</v>
      </c>
      <c r="I731" s="232">
        <v>0.0</v>
      </c>
      <c r="J731" s="170">
        <v>51624.664</v>
      </c>
    </row>
    <row r="732">
      <c r="A732" s="229">
        <v>42738.0</v>
      </c>
      <c r="B732" s="221">
        <v>0.012867285637475143</v>
      </c>
      <c r="C732" s="221">
        <v>0.011515384615384629</v>
      </c>
      <c r="D732" s="221">
        <v>0.02438267025285977</v>
      </c>
      <c r="E732" s="233">
        <v>0.006180681136144374</v>
      </c>
      <c r="F732" s="232">
        <v>26.258081566820692</v>
      </c>
      <c r="G732" s="171">
        <v>0.0</v>
      </c>
      <c r="H732" s="230">
        <v>5386.557043003457</v>
      </c>
      <c r="I732" s="232">
        <v>0.0</v>
      </c>
      <c r="J732" s="170">
        <v>51783.314000000006</v>
      </c>
    </row>
    <row r="733">
      <c r="A733" s="229">
        <v>42737.0</v>
      </c>
      <c r="B733" s="221">
        <v>0.012767657154087751</v>
      </c>
      <c r="C733" s="221">
        <v>0.011496153846153859</v>
      </c>
      <c r="D733" s="221">
        <v>0.02426381100024161</v>
      </c>
      <c r="E733" s="233">
        <v>0.006180681136144374</v>
      </c>
      <c r="F733" s="232">
        <v>26.258081566820692</v>
      </c>
      <c r="G733" s="171">
        <v>0.0</v>
      </c>
      <c r="H733" s="230">
        <v>5360.298961436636</v>
      </c>
      <c r="I733" s="232">
        <v>0.0</v>
      </c>
      <c r="J733" s="170">
        <v>51403.15</v>
      </c>
    </row>
    <row r="734">
      <c r="A734" s="229">
        <v>42734.0</v>
      </c>
      <c r="B734" s="221">
        <v>0.01266802867070036</v>
      </c>
      <c r="C734" s="221">
        <v>0.01147692307692309</v>
      </c>
      <c r="D734" s="221">
        <v>0.024144951747623447</v>
      </c>
      <c r="E734" s="233">
        <v>0.006180681136144374</v>
      </c>
      <c r="F734" s="232">
        <v>26.258081566820692</v>
      </c>
      <c r="G734" s="171">
        <v>0.0</v>
      </c>
      <c r="H734" s="230">
        <v>5334.040879869815</v>
      </c>
      <c r="I734" s="232">
        <v>0.0</v>
      </c>
      <c r="J734" s="170">
        <v>51025.03799999999</v>
      </c>
    </row>
    <row r="735">
      <c r="A735" s="229">
        <v>42733.0</v>
      </c>
      <c r="B735" s="221">
        <v>0.012568400187312968</v>
      </c>
      <c r="C735" s="221">
        <v>0.01145769230769232</v>
      </c>
      <c r="D735" s="221">
        <v>0.024026092495005286</v>
      </c>
      <c r="E735" s="233">
        <v>0.006180681136144374</v>
      </c>
      <c r="F735" s="232">
        <v>26.258081566820692</v>
      </c>
      <c r="G735" s="171">
        <v>0.0</v>
      </c>
      <c r="H735" s="230">
        <v>5307.782798302995</v>
      </c>
      <c r="I735" s="232">
        <v>0.0</v>
      </c>
      <c r="J735" s="170">
        <v>51334.507999999994</v>
      </c>
    </row>
    <row r="736">
      <c r="A736" s="229">
        <v>42732.0</v>
      </c>
      <c r="B736" s="221">
        <v>0.012468771703925576</v>
      </c>
      <c r="C736" s="221">
        <v>0.01143846153846155</v>
      </c>
      <c r="D736" s="221">
        <v>0.023907233242387124</v>
      </c>
      <c r="E736" s="233">
        <v>0.006180681136144374</v>
      </c>
      <c r="F736" s="232">
        <v>26.258081566820692</v>
      </c>
      <c r="G736" s="171">
        <v>0.0</v>
      </c>
      <c r="H736" s="230">
        <v>5281.524716736174</v>
      </c>
      <c r="I736" s="232">
        <v>0.0</v>
      </c>
      <c r="J736" s="170">
        <v>51269.708</v>
      </c>
    </row>
    <row r="737">
      <c r="A737" s="229">
        <v>42731.0</v>
      </c>
      <c r="B737" s="221">
        <v>0.012369143220538184</v>
      </c>
      <c r="C737" s="221">
        <v>0.01141923076923078</v>
      </c>
      <c r="D737" s="221">
        <v>0.023788373989768963</v>
      </c>
      <c r="E737" s="233">
        <v>0.006180681136144374</v>
      </c>
      <c r="F737" s="232">
        <v>26.258081566820692</v>
      </c>
      <c r="G737" s="171">
        <v>0.0</v>
      </c>
      <c r="H737" s="230">
        <v>5255.266635169353</v>
      </c>
      <c r="I737" s="232">
        <v>0.0</v>
      </c>
      <c r="J737" s="170">
        <v>50881.32</v>
      </c>
    </row>
    <row r="738">
      <c r="A738" s="229">
        <v>42727.0</v>
      </c>
      <c r="B738" s="221">
        <v>0.012269514737150792</v>
      </c>
      <c r="C738" s="221">
        <v>0.01140000000000001</v>
      </c>
      <c r="D738" s="221">
        <v>0.0236695147371508</v>
      </c>
      <c r="E738" s="233">
        <v>0.006180681136144374</v>
      </c>
      <c r="F738" s="232">
        <v>26.258081566820692</v>
      </c>
      <c r="G738" s="171">
        <v>0.0</v>
      </c>
      <c r="H738" s="230">
        <v>5229.008553602533</v>
      </c>
      <c r="I738" s="232">
        <v>0.0</v>
      </c>
      <c r="J738" s="170">
        <v>50827.791999999994</v>
      </c>
    </row>
    <row r="739">
      <c r="A739" s="229">
        <v>42726.0</v>
      </c>
      <c r="B739" s="221">
        <v>0.0121698862537634</v>
      </c>
      <c r="C739" s="221">
        <v>0.011380769230769241</v>
      </c>
      <c r="D739" s="221">
        <v>0.02355065548453264</v>
      </c>
      <c r="E739" s="233">
        <v>0.006180681136144374</v>
      </c>
      <c r="F739" s="232">
        <v>26.258081566820692</v>
      </c>
      <c r="G739" s="171">
        <v>0.0</v>
      </c>
      <c r="H739" s="230">
        <v>5202.750472035712</v>
      </c>
      <c r="I739" s="232">
        <v>0.0</v>
      </c>
      <c r="J739" s="170">
        <v>50724.219999999994</v>
      </c>
    </row>
    <row r="740">
      <c r="A740" s="229">
        <v>42725.0</v>
      </c>
      <c r="B740" s="221">
        <v>0.012070257770376009</v>
      </c>
      <c r="C740" s="221">
        <v>0.011361538461538472</v>
      </c>
      <c r="D740" s="221">
        <v>0.02343179623191448</v>
      </c>
      <c r="E740" s="233">
        <v>0.006180681136144374</v>
      </c>
      <c r="F740" s="232">
        <v>26.258081566820692</v>
      </c>
      <c r="G740" s="171">
        <v>0.0</v>
      </c>
      <c r="H740" s="230">
        <v>5176.492390468891</v>
      </c>
      <c r="I740" s="232">
        <v>0.0</v>
      </c>
      <c r="J740" s="170">
        <v>50883.314</v>
      </c>
    </row>
    <row r="741">
      <c r="A741" s="229">
        <v>42724.0</v>
      </c>
      <c r="B741" s="221">
        <v>0.011970629286988617</v>
      </c>
      <c r="C741" s="221">
        <v>0.011342307692307702</v>
      </c>
      <c r="D741" s="221">
        <v>0.023312936979296317</v>
      </c>
      <c r="E741" s="233">
        <v>0.006180681136144374</v>
      </c>
      <c r="F741" s="232">
        <v>26.258081566820692</v>
      </c>
      <c r="G741" s="171">
        <v>0.0</v>
      </c>
      <c r="H741" s="230">
        <v>5150.234308902071</v>
      </c>
      <c r="I741" s="232">
        <v>0.0</v>
      </c>
      <c r="J741" s="170">
        <v>50959.292</v>
      </c>
    </row>
    <row r="742">
      <c r="A742" s="229">
        <v>42723.0</v>
      </c>
      <c r="B742" s="221">
        <v>0.011871000803601225</v>
      </c>
      <c r="C742" s="221">
        <v>0.011323076923076932</v>
      </c>
      <c r="D742" s="221">
        <v>0.023194077726678156</v>
      </c>
      <c r="E742" s="233">
        <v>0.006180681136144374</v>
      </c>
      <c r="F742" s="232">
        <v>26.258081566820692</v>
      </c>
      <c r="G742" s="171">
        <v>0.0</v>
      </c>
      <c r="H742" s="230">
        <v>5123.97622733525</v>
      </c>
      <c r="I742" s="232">
        <v>0.0</v>
      </c>
      <c r="J742" s="170">
        <v>51019.702</v>
      </c>
    </row>
    <row r="743">
      <c r="A743" s="229">
        <v>42720.0</v>
      </c>
      <c r="B743" s="221">
        <v>0.011771372320213833</v>
      </c>
      <c r="C743" s="221">
        <v>0.011303846153846163</v>
      </c>
      <c r="D743" s="221">
        <v>0.023075218474059994</v>
      </c>
      <c r="E743" s="233">
        <v>0.006180681136144374</v>
      </c>
      <c r="F743" s="232">
        <v>26.258081566820692</v>
      </c>
      <c r="G743" s="171">
        <v>0.0</v>
      </c>
      <c r="H743" s="230">
        <v>5097.718145768429</v>
      </c>
      <c r="I743" s="232">
        <v>0.0</v>
      </c>
      <c r="J743" s="170">
        <v>50971.732</v>
      </c>
    </row>
    <row r="744">
      <c r="A744" s="229">
        <v>42719.0</v>
      </c>
      <c r="B744" s="221">
        <v>0.011671743836826442</v>
      </c>
      <c r="C744" s="221">
        <v>0.011284615384615393</v>
      </c>
      <c r="D744" s="221">
        <v>0.022956359221441833</v>
      </c>
      <c r="E744" s="233">
        <v>0.006180681136144374</v>
      </c>
      <c r="F744" s="232">
        <v>26.258081566820692</v>
      </c>
      <c r="G744" s="171">
        <v>0.0</v>
      </c>
      <c r="H744" s="230">
        <v>5071.4600642016085</v>
      </c>
      <c r="I744" s="232">
        <v>0.0</v>
      </c>
      <c r="J744" s="170">
        <v>50808.638</v>
      </c>
    </row>
    <row r="745">
      <c r="A745" s="229">
        <v>42718.0</v>
      </c>
      <c r="B745" s="221">
        <v>0.01157211535343905</v>
      </c>
      <c r="C745" s="221">
        <v>0.011265384615384623</v>
      </c>
      <c r="D745" s="221">
        <v>0.02283749996882367</v>
      </c>
      <c r="E745" s="233">
        <v>0.006180681136144374</v>
      </c>
      <c r="F745" s="232">
        <v>26.258081566820692</v>
      </c>
      <c r="G745" s="171">
        <v>0.0</v>
      </c>
      <c r="H745" s="230">
        <v>5045.201982634788</v>
      </c>
      <c r="I745" s="232">
        <v>0.0</v>
      </c>
      <c r="J745" s="170">
        <v>50821.731999999996</v>
      </c>
    </row>
    <row r="746">
      <c r="A746" s="229">
        <v>42717.0</v>
      </c>
      <c r="B746" s="221">
        <v>0.011472486870051658</v>
      </c>
      <c r="C746" s="221">
        <v>0.011246153846153854</v>
      </c>
      <c r="D746" s="221">
        <v>0.02271864071620551</v>
      </c>
      <c r="E746" s="233">
        <v>0.006180681136144374</v>
      </c>
      <c r="F746" s="232">
        <v>26.258081566820692</v>
      </c>
      <c r="G746" s="171">
        <v>0.0</v>
      </c>
      <c r="H746" s="230">
        <v>5018.943901067967</v>
      </c>
      <c r="I746" s="232">
        <v>0.0</v>
      </c>
      <c r="J746" s="170">
        <v>50664.746</v>
      </c>
    </row>
    <row r="747">
      <c r="A747" s="229">
        <v>42716.0</v>
      </c>
      <c r="B747" s="221">
        <v>0.011372858386664266</v>
      </c>
      <c r="C747" s="221">
        <v>0.011226923076923084</v>
      </c>
      <c r="D747" s="221">
        <v>0.02259978146358735</v>
      </c>
      <c r="E747" s="233">
        <v>0.006180681136144374</v>
      </c>
      <c r="F747" s="232">
        <v>26.258081566820692</v>
      </c>
      <c r="G747" s="171">
        <v>0.0</v>
      </c>
      <c r="H747" s="230">
        <v>4992.685819501146</v>
      </c>
      <c r="I747" s="232">
        <v>0.0</v>
      </c>
      <c r="J747" s="170">
        <v>50917.223999999995</v>
      </c>
    </row>
    <row r="748">
      <c r="A748" s="229">
        <v>42713.0</v>
      </c>
      <c r="B748" s="221">
        <v>0.011273229903276874</v>
      </c>
      <c r="C748" s="221">
        <v>0.011207692307692314</v>
      </c>
      <c r="D748" s="221">
        <v>0.022480922210969187</v>
      </c>
      <c r="E748" s="233">
        <v>0.006180681136144374</v>
      </c>
      <c r="F748" s="232">
        <v>26.258081566820692</v>
      </c>
      <c r="G748" s="171">
        <v>0.0</v>
      </c>
      <c r="H748" s="230">
        <v>4966.427737934326</v>
      </c>
      <c r="I748" s="232">
        <v>0.0</v>
      </c>
      <c r="J748" s="170">
        <v>51273.932</v>
      </c>
    </row>
    <row r="749">
      <c r="A749" s="229">
        <v>42712.0</v>
      </c>
      <c r="B749" s="221">
        <v>0.011173601419889483</v>
      </c>
      <c r="C749" s="221">
        <v>0.011188461538461545</v>
      </c>
      <c r="D749" s="221">
        <v>0.022362062958351026</v>
      </c>
      <c r="E749" s="233">
        <v>0.006180681136144374</v>
      </c>
      <c r="F749" s="232">
        <v>26.258081566820692</v>
      </c>
      <c r="G749" s="171">
        <v>0.0</v>
      </c>
      <c r="H749" s="230">
        <v>4940.169656367505</v>
      </c>
      <c r="I749" s="232">
        <v>0.0</v>
      </c>
      <c r="J749" s="170">
        <v>51135.312000000005</v>
      </c>
    </row>
    <row r="750">
      <c r="A750" s="229">
        <v>42711.0</v>
      </c>
      <c r="B750" s="221">
        <v>0.01107397293650209</v>
      </c>
      <c r="C750" s="221">
        <v>0.011169230769230775</v>
      </c>
      <c r="D750" s="221">
        <v>0.022243203705732864</v>
      </c>
      <c r="E750" s="233">
        <v>0.006180681136144374</v>
      </c>
      <c r="F750" s="232">
        <v>26.258081566820692</v>
      </c>
      <c r="G750" s="171">
        <v>0.0</v>
      </c>
      <c r="H750" s="230">
        <v>4913.911574800684</v>
      </c>
      <c r="I750" s="232">
        <v>0.0</v>
      </c>
      <c r="J750" s="170">
        <v>50652.312</v>
      </c>
    </row>
    <row r="751">
      <c r="A751" s="229">
        <v>42710.0</v>
      </c>
      <c r="B751" s="221">
        <v>0.010974344453114699</v>
      </c>
      <c r="C751" s="221">
        <v>0.011150000000000005</v>
      </c>
      <c r="D751" s="221">
        <v>0.022124344453114703</v>
      </c>
      <c r="E751" s="233">
        <v>0.006180681136144374</v>
      </c>
      <c r="F751" s="232">
        <v>26.258081566820692</v>
      </c>
      <c r="G751" s="171">
        <v>0.0</v>
      </c>
      <c r="H751" s="230">
        <v>4887.653493233864</v>
      </c>
      <c r="I751" s="232">
        <v>0.0</v>
      </c>
      <c r="J751" s="170">
        <v>50529.444</v>
      </c>
    </row>
    <row r="752">
      <c r="A752" s="229">
        <v>42709.0</v>
      </c>
      <c r="B752" s="221">
        <v>0.010874715969727307</v>
      </c>
      <c r="C752" s="221">
        <v>0.011130769230769236</v>
      </c>
      <c r="D752" s="221">
        <v>0.02200548520049654</v>
      </c>
      <c r="E752" s="233">
        <v>0.006180681136144374</v>
      </c>
      <c r="F752" s="232">
        <v>26.258081566820692</v>
      </c>
      <c r="G752" s="171">
        <v>0.0</v>
      </c>
      <c r="H752" s="230">
        <v>4861.395411667043</v>
      </c>
      <c r="I752" s="232">
        <v>0.0</v>
      </c>
      <c r="J752" s="170">
        <v>50440.228</v>
      </c>
    </row>
    <row r="753">
      <c r="A753" s="229">
        <v>42706.0</v>
      </c>
      <c r="B753" s="221">
        <v>0.010775087486339915</v>
      </c>
      <c r="C753" s="221">
        <v>0.011111538461538466</v>
      </c>
      <c r="D753" s="221">
        <v>0.02188662594787838</v>
      </c>
      <c r="E753" s="233">
        <v>0.006180681136144374</v>
      </c>
      <c r="F753" s="232">
        <v>26.258081566820692</v>
      </c>
      <c r="G753" s="171">
        <v>0.0</v>
      </c>
      <c r="H753" s="230">
        <v>4835.137330100222</v>
      </c>
      <c r="I753" s="232">
        <v>0.0</v>
      </c>
      <c r="J753" s="170">
        <v>50884.136</v>
      </c>
    </row>
    <row r="754">
      <c r="A754" s="229">
        <v>42705.0</v>
      </c>
      <c r="B754" s="221">
        <v>0.010675459002952524</v>
      </c>
      <c r="C754" s="221">
        <v>0.011092307692307696</v>
      </c>
      <c r="D754" s="221">
        <v>0.02176776669526022</v>
      </c>
      <c r="E754" s="233">
        <v>0.006180681136144374</v>
      </c>
      <c r="F754" s="232">
        <v>26.258081566820692</v>
      </c>
      <c r="G754" s="171">
        <v>0.0</v>
      </c>
      <c r="H754" s="230">
        <v>4808.879248533402</v>
      </c>
      <c r="I754" s="232">
        <v>0.0</v>
      </c>
      <c r="J754" s="170">
        <v>50895.364</v>
      </c>
    </row>
    <row r="755">
      <c r="A755" s="229">
        <v>42704.0</v>
      </c>
      <c r="B755" s="221">
        <v>0.010575830519565132</v>
      </c>
      <c r="C755" s="221">
        <v>0.011073076923076927</v>
      </c>
      <c r="D755" s="221">
        <v>0.021648907442642057</v>
      </c>
      <c r="E755" s="233">
        <v>0.006180681136144374</v>
      </c>
      <c r="F755" s="232">
        <v>26.258081566820692</v>
      </c>
      <c r="G755" s="171">
        <v>0.0</v>
      </c>
      <c r="H755" s="230">
        <v>4782.621166966581</v>
      </c>
      <c r="I755" s="232">
        <v>0.0</v>
      </c>
      <c r="J755" s="170">
        <v>51281.382</v>
      </c>
    </row>
    <row r="756">
      <c r="A756" s="229">
        <v>42703.0</v>
      </c>
      <c r="B756" s="221">
        <v>0.01047620203617774</v>
      </c>
      <c r="C756" s="221">
        <v>0.011053846153846157</v>
      </c>
      <c r="D756" s="221">
        <v>0.021530048190023895</v>
      </c>
      <c r="E756" s="233">
        <v>0.006180681136144374</v>
      </c>
      <c r="F756" s="232">
        <v>26.258081566820692</v>
      </c>
      <c r="G756" s="171">
        <v>0.0</v>
      </c>
      <c r="H756" s="230">
        <v>4756.36308539976</v>
      </c>
      <c r="I756" s="232">
        <v>0.0</v>
      </c>
      <c r="J756" s="170">
        <v>51522.272000000004</v>
      </c>
    </row>
    <row r="757">
      <c r="A757" s="229">
        <v>42702.0</v>
      </c>
      <c r="B757" s="221">
        <v>0.010376573552790348</v>
      </c>
      <c r="C757" s="221">
        <v>0.011034615384615388</v>
      </c>
      <c r="D757" s="221">
        <v>0.021411188937405734</v>
      </c>
      <c r="E757" s="233">
        <v>0.006180681136144374</v>
      </c>
      <c r="F757" s="232">
        <v>26.258081566820692</v>
      </c>
      <c r="G757" s="171">
        <v>0.0</v>
      </c>
      <c r="H757" s="230">
        <v>4730.1050038329395</v>
      </c>
      <c r="I757" s="232">
        <v>0.0</v>
      </c>
      <c r="J757" s="170">
        <v>51775.358</v>
      </c>
    </row>
    <row r="758">
      <c r="A758" s="229">
        <v>42699.0</v>
      </c>
      <c r="B758" s="221">
        <v>0.010276945069402956</v>
      </c>
      <c r="C758" s="221">
        <v>0.011015384615384618</v>
      </c>
      <c r="D758" s="221">
        <v>0.021292329684787573</v>
      </c>
      <c r="E758" s="233">
        <v>0.006180681136144374</v>
      </c>
      <c r="F758" s="232">
        <v>26.258081566820692</v>
      </c>
      <c r="G758" s="171">
        <v>0.0</v>
      </c>
      <c r="H758" s="230">
        <v>4703.846922266119</v>
      </c>
      <c r="I758" s="232">
        <v>0.0</v>
      </c>
      <c r="J758" s="170">
        <v>51360.408</v>
      </c>
    </row>
    <row r="759">
      <c r="A759" s="229">
        <v>42698.0</v>
      </c>
      <c r="B759" s="221">
        <v>0.010177316586015565</v>
      </c>
      <c r="C759" s="221">
        <v>0.010996153846153848</v>
      </c>
      <c r="D759" s="221">
        <v>0.02117347043216941</v>
      </c>
      <c r="E759" s="233">
        <v>0.006180681136144374</v>
      </c>
      <c r="F759" s="232">
        <v>26.258081566820692</v>
      </c>
      <c r="G759" s="171">
        <v>0.0</v>
      </c>
      <c r="H759" s="230">
        <v>4677.588840699298</v>
      </c>
      <c r="I759" s="232">
        <v>0.0</v>
      </c>
      <c r="J759" s="170">
        <v>51672.44</v>
      </c>
    </row>
    <row r="760">
      <c r="A760" s="229">
        <v>42697.0</v>
      </c>
      <c r="B760" s="221">
        <v>0.010077688102628173</v>
      </c>
      <c r="C760" s="221">
        <v>0.010976923076923079</v>
      </c>
      <c r="D760" s="221">
        <v>0.02105461117955125</v>
      </c>
      <c r="E760" s="233">
        <v>0.006180681136144374</v>
      </c>
      <c r="F760" s="232">
        <v>26.258081566820692</v>
      </c>
      <c r="G760" s="171">
        <v>0.0</v>
      </c>
      <c r="H760" s="230">
        <v>4651.330759132477</v>
      </c>
      <c r="I760" s="232">
        <v>0.0</v>
      </c>
      <c r="J760" s="170">
        <v>51660.738</v>
      </c>
    </row>
    <row r="761">
      <c r="A761" s="229">
        <v>42696.0</v>
      </c>
      <c r="B761" s="221">
        <v>0.009978059619240781</v>
      </c>
      <c r="C761" s="221">
        <v>0.010957692307692309</v>
      </c>
      <c r="D761" s="221">
        <v>0.02093575192693309</v>
      </c>
      <c r="E761" s="233">
        <v>0.006180681136144374</v>
      </c>
      <c r="F761" s="232">
        <v>26.258081566820692</v>
      </c>
      <c r="G761" s="171">
        <v>0.0</v>
      </c>
      <c r="H761" s="230">
        <v>4625.072677565657</v>
      </c>
      <c r="I761" s="232">
        <v>0.0</v>
      </c>
      <c r="J761" s="170">
        <v>52101.18199999999</v>
      </c>
    </row>
    <row r="762">
      <c r="A762" s="229">
        <v>42695.0</v>
      </c>
      <c r="B762" s="221">
        <v>0.00987843113585339</v>
      </c>
      <c r="C762" s="221">
        <v>0.01093846153846154</v>
      </c>
      <c r="D762" s="221">
        <v>0.020816892674314927</v>
      </c>
      <c r="E762" s="233">
        <v>0.006180681136144374</v>
      </c>
      <c r="F762" s="232">
        <v>26.258081566820692</v>
      </c>
      <c r="G762" s="171">
        <v>0.0</v>
      </c>
      <c r="H762" s="230">
        <v>4598.814595998836</v>
      </c>
      <c r="I762" s="232">
        <v>0.0</v>
      </c>
      <c r="J762" s="170">
        <v>52148.43199999999</v>
      </c>
    </row>
    <row r="763">
      <c r="A763" s="229">
        <v>42692.0</v>
      </c>
      <c r="B763" s="221">
        <v>0.009778802652465998</v>
      </c>
      <c r="C763" s="221">
        <v>0.01091923076923077</v>
      </c>
      <c r="D763" s="221">
        <v>0.020698033421696765</v>
      </c>
      <c r="E763" s="233">
        <v>0.006180681136144374</v>
      </c>
      <c r="F763" s="232">
        <v>26.258081566820692</v>
      </c>
      <c r="G763" s="171">
        <v>0.0</v>
      </c>
      <c r="H763" s="230">
        <v>4572.556514432015</v>
      </c>
      <c r="I763" s="232">
        <v>0.0</v>
      </c>
      <c r="J763" s="170">
        <v>52077.746</v>
      </c>
    </row>
    <row r="764">
      <c r="A764" s="229">
        <v>42691.0</v>
      </c>
      <c r="B764" s="21">
        <v>0.009679174169078606</v>
      </c>
      <c r="C764" s="21">
        <v>0.0109</v>
      </c>
      <c r="D764" s="159">
        <v>0.020579174169078604</v>
      </c>
      <c r="E764" s="159">
        <v>6.585550552746372E-5</v>
      </c>
      <c r="F764" s="232">
        <v>7.274314778504049</v>
      </c>
      <c r="G764" s="171">
        <v>0.0</v>
      </c>
      <c r="H764" s="230">
        <v>4546.298432865195</v>
      </c>
      <c r="I764" s="232">
        <v>0.0</v>
      </c>
      <c r="J764" s="170">
        <v>52291.920000000006</v>
      </c>
    </row>
    <row r="765">
      <c r="A765" s="229">
        <v>42690.0</v>
      </c>
      <c r="B765" s="221">
        <v>0.009646246416314872</v>
      </c>
      <c r="C765" s="221">
        <v>0.0109</v>
      </c>
      <c r="D765" s="221">
        <v>0.020546246416314872</v>
      </c>
      <c r="E765" s="221">
        <v>6.585550552746372E-5</v>
      </c>
      <c r="F765" s="232">
        <v>7.27431477850314</v>
      </c>
      <c r="G765" s="171">
        <v>0.0</v>
      </c>
      <c r="H765" s="230">
        <v>4539.024118086691</v>
      </c>
      <c r="I765" s="232">
        <v>0.0</v>
      </c>
      <c r="J765" s="170">
        <v>52237.612</v>
      </c>
    </row>
    <row r="766">
      <c r="A766" s="229">
        <v>42689.0</v>
      </c>
      <c r="B766" s="21">
        <v>0.009613318663551139</v>
      </c>
      <c r="C766" s="21">
        <v>0.0109</v>
      </c>
      <c r="D766" s="159">
        <v>0.02051331866355114</v>
      </c>
      <c r="E766" s="159">
        <v>0.0020854479507337424</v>
      </c>
      <c r="F766" s="232">
        <v>8.376578514285939</v>
      </c>
      <c r="G766" s="171">
        <v>0.0</v>
      </c>
      <c r="H766" s="230">
        <v>4531.749803308187</v>
      </c>
      <c r="I766" s="232">
        <v>0.0</v>
      </c>
      <c r="J766" s="170">
        <v>51871.922</v>
      </c>
    </row>
    <row r="767">
      <c r="A767" s="229">
        <v>42688.0</v>
      </c>
      <c r="B767" s="221">
        <v>0.009580855973537776</v>
      </c>
      <c r="C767" s="221">
        <v>0.010894545454545409</v>
      </c>
      <c r="D767" s="221">
        <v>0.020475401428083278</v>
      </c>
      <c r="E767" s="233">
        <v>0.0020854479507337424</v>
      </c>
      <c r="F767" s="232">
        <v>8.376578514275025</v>
      </c>
      <c r="G767" s="171">
        <v>0.0</v>
      </c>
      <c r="H767" s="230">
        <v>4523.3732247939015</v>
      </c>
      <c r="I767" s="232">
        <v>0.0</v>
      </c>
      <c r="J767" s="170">
        <v>51748.448000000004</v>
      </c>
    </row>
    <row r="768">
      <c r="A768" s="229">
        <v>42685.0</v>
      </c>
      <c r="B768" s="221">
        <v>0.009548393283524435</v>
      </c>
      <c r="C768" s="221">
        <v>0.010889090909090864</v>
      </c>
      <c r="D768" s="221">
        <v>0.02043748419261539</v>
      </c>
      <c r="E768" s="233">
        <v>0.0020854479507337424</v>
      </c>
      <c r="F768" s="232">
        <v>8.376578514275025</v>
      </c>
      <c r="G768" s="171">
        <v>0.0</v>
      </c>
      <c r="H768" s="230">
        <v>4514.9966462796265</v>
      </c>
      <c r="I768" s="232">
        <v>0.0</v>
      </c>
      <c r="J768" s="170">
        <v>51548.838</v>
      </c>
    </row>
    <row r="769">
      <c r="A769" s="229">
        <v>42684.0</v>
      </c>
      <c r="B769" s="221">
        <v>0.009515930593511095</v>
      </c>
      <c r="C769" s="221">
        <v>0.01088363636363632</v>
      </c>
      <c r="D769" s="221">
        <v>0.020399566957147505</v>
      </c>
      <c r="E769" s="233">
        <v>0.0020854479507337424</v>
      </c>
      <c r="F769" s="232">
        <v>8.376578514275025</v>
      </c>
      <c r="G769" s="171">
        <v>0.0</v>
      </c>
      <c r="H769" s="230">
        <v>4506.620067765351</v>
      </c>
      <c r="I769" s="232">
        <v>0.0</v>
      </c>
      <c r="J769" s="170">
        <v>52026.422</v>
      </c>
    </row>
    <row r="770">
      <c r="A770" s="229">
        <v>42683.0</v>
      </c>
      <c r="B770" s="221">
        <v>0.009483467903497755</v>
      </c>
      <c r="C770" s="221">
        <v>0.010878181818181775</v>
      </c>
      <c r="D770" s="221">
        <v>0.020361649721679618</v>
      </c>
      <c r="E770" s="233">
        <v>0.0020854479507337424</v>
      </c>
      <c r="F770" s="232">
        <v>8.376578514275025</v>
      </c>
      <c r="G770" s="171">
        <v>0.0</v>
      </c>
      <c r="H770" s="230">
        <v>4498.243489251076</v>
      </c>
      <c r="I770" s="232">
        <v>0.0</v>
      </c>
      <c r="J770" s="170">
        <v>52864.12</v>
      </c>
    </row>
    <row r="771">
      <c r="A771" s="229">
        <v>42682.0</v>
      </c>
      <c r="B771" s="221">
        <v>0.009451005213484414</v>
      </c>
      <c r="C771" s="221">
        <v>0.01087272727272723</v>
      </c>
      <c r="D771" s="221">
        <v>0.02032373248621173</v>
      </c>
      <c r="E771" s="233">
        <v>0.0020854479507337424</v>
      </c>
      <c r="F771" s="232">
        <v>8.376578514275025</v>
      </c>
      <c r="G771" s="171">
        <v>0.0</v>
      </c>
      <c r="H771" s="230">
        <v>4489.866910736801</v>
      </c>
      <c r="I771" s="232">
        <v>0.0</v>
      </c>
      <c r="J771" s="170">
        <v>52236.100000000006</v>
      </c>
    </row>
    <row r="772">
      <c r="A772" s="229">
        <v>42681.0</v>
      </c>
      <c r="B772" s="221">
        <v>0.009418542523471074</v>
      </c>
      <c r="C772" s="221">
        <v>0.010867272727272686</v>
      </c>
      <c r="D772" s="221">
        <v>0.020285815250743845</v>
      </c>
      <c r="E772" s="233">
        <v>0.0020854479507337424</v>
      </c>
      <c r="F772" s="232">
        <v>8.376578514275025</v>
      </c>
      <c r="G772" s="171">
        <v>0.0</v>
      </c>
      <c r="H772" s="230">
        <v>4481.490332222526</v>
      </c>
      <c r="I772" s="232">
        <v>0.0</v>
      </c>
      <c r="J772" s="170">
        <v>52389.14000000001</v>
      </c>
    </row>
    <row r="773">
      <c r="A773" s="229">
        <v>42678.0</v>
      </c>
      <c r="B773" s="221">
        <v>0.009386079833457734</v>
      </c>
      <c r="C773" s="221">
        <v>0.010861818181818141</v>
      </c>
      <c r="D773" s="221">
        <v>0.020247898015275958</v>
      </c>
      <c r="E773" s="233">
        <v>0.0020854479507337424</v>
      </c>
      <c r="F773" s="232">
        <v>8.376578514275025</v>
      </c>
      <c r="G773" s="171">
        <v>0.0</v>
      </c>
      <c r="H773" s="230">
        <v>4473.113753708251</v>
      </c>
      <c r="I773" s="232">
        <v>0.0</v>
      </c>
      <c r="J773" s="170">
        <v>52531.166000000005</v>
      </c>
    </row>
    <row r="774">
      <c r="A774" s="229">
        <v>42677.0</v>
      </c>
      <c r="B774" s="221">
        <v>0.009353617143444393</v>
      </c>
      <c r="C774" s="221">
        <v>0.010856363636363596</v>
      </c>
      <c r="D774" s="221">
        <v>0.02020998077980807</v>
      </c>
      <c r="E774" s="233">
        <v>0.0020854479507337424</v>
      </c>
      <c r="F774" s="232">
        <v>8.376578514275025</v>
      </c>
      <c r="G774" s="171">
        <v>0.0</v>
      </c>
      <c r="H774" s="230">
        <v>4464.737175193976</v>
      </c>
      <c r="I774" s="232">
        <v>0.0</v>
      </c>
      <c r="J774" s="170">
        <v>52434.816</v>
      </c>
    </row>
    <row r="775">
      <c r="A775" s="229">
        <v>42676.0</v>
      </c>
      <c r="B775" s="221">
        <v>0.009321154453431053</v>
      </c>
      <c r="C775" s="221">
        <v>0.010850909090909052</v>
      </c>
      <c r="D775" s="221">
        <v>0.020172063544340185</v>
      </c>
      <c r="E775" s="233">
        <v>0.0020854479507337424</v>
      </c>
      <c r="F775" s="232">
        <v>8.376578514275025</v>
      </c>
      <c r="G775" s="171">
        <v>0.0</v>
      </c>
      <c r="H775" s="230">
        <v>4456.360596679701</v>
      </c>
      <c r="I775" s="232">
        <v>0.0</v>
      </c>
      <c r="J775" s="170">
        <v>52586.630000000005</v>
      </c>
    </row>
    <row r="776">
      <c r="A776" s="229">
        <v>42675.0</v>
      </c>
      <c r="B776" s="221">
        <v>0.009288691763417713</v>
      </c>
      <c r="C776" s="221">
        <v>0.010845454545454507</v>
      </c>
      <c r="D776" s="221">
        <v>0.020134146308872298</v>
      </c>
      <c r="E776" s="233">
        <v>0.0020854479507337424</v>
      </c>
      <c r="F776" s="232">
        <v>8.376578514275025</v>
      </c>
      <c r="G776" s="171">
        <v>0.0</v>
      </c>
      <c r="H776" s="230">
        <v>4447.984018165426</v>
      </c>
      <c r="I776" s="232">
        <v>0.0</v>
      </c>
      <c r="J776" s="170">
        <v>52467.504</v>
      </c>
    </row>
    <row r="777">
      <c r="A777" s="229">
        <v>42674.0</v>
      </c>
      <c r="B777" s="221">
        <v>0.009256229073404372</v>
      </c>
      <c r="C777" s="221">
        <v>0.010839999999999963</v>
      </c>
      <c r="D777" s="221">
        <v>0.02009622907340441</v>
      </c>
      <c r="E777" s="233">
        <v>0.0020854479507337424</v>
      </c>
      <c r="F777" s="232">
        <v>8.376578514275025</v>
      </c>
      <c r="G777" s="171">
        <v>0.0</v>
      </c>
      <c r="H777" s="230">
        <v>4439.607439651151</v>
      </c>
      <c r="I777" s="232">
        <v>0.0</v>
      </c>
      <c r="J777" s="170">
        <v>52467.402</v>
      </c>
    </row>
    <row r="778">
      <c r="A778" s="229">
        <v>42671.0</v>
      </c>
      <c r="B778" s="221">
        <v>0.009223766383391032</v>
      </c>
      <c r="C778" s="221">
        <v>0.010834545454545418</v>
      </c>
      <c r="D778" s="221">
        <v>0.020058311837936525</v>
      </c>
      <c r="E778" s="233">
        <v>0.0020854479507337424</v>
      </c>
      <c r="F778" s="232">
        <v>8.376578514275025</v>
      </c>
      <c r="G778" s="171">
        <v>0.0</v>
      </c>
      <c r="H778" s="230">
        <v>4431.230861136876</v>
      </c>
      <c r="I778" s="232">
        <v>0.0</v>
      </c>
      <c r="J778" s="170">
        <v>52560.39599999999</v>
      </c>
    </row>
    <row r="779">
      <c r="A779" s="229">
        <v>42670.0</v>
      </c>
      <c r="B779" s="221">
        <v>0.009191303693377692</v>
      </c>
      <c r="C779" s="221">
        <v>0.010829090909090873</v>
      </c>
      <c r="D779" s="221">
        <v>0.020020394602468638</v>
      </c>
      <c r="E779" s="233">
        <v>0.0020854479507337424</v>
      </c>
      <c r="F779" s="232">
        <v>8.376578514275025</v>
      </c>
      <c r="G779" s="171">
        <v>0.0</v>
      </c>
      <c r="H779" s="230">
        <v>4422.854282622601</v>
      </c>
      <c r="I779" s="232">
        <v>0.0</v>
      </c>
      <c r="J779" s="170">
        <v>52664.10799999999</v>
      </c>
    </row>
    <row r="780">
      <c r="A780" s="229">
        <v>42669.0</v>
      </c>
      <c r="B780" s="221">
        <v>0.009158841003364351</v>
      </c>
      <c r="C780" s="221">
        <v>0.010823636363636329</v>
      </c>
      <c r="D780" s="221">
        <v>0.01998247736700075</v>
      </c>
      <c r="E780" s="233">
        <v>0.0020854479507337424</v>
      </c>
      <c r="F780" s="232">
        <v>8.376578514275025</v>
      </c>
      <c r="G780" s="171">
        <v>0.0</v>
      </c>
      <c r="H780" s="230">
        <v>4414.477704108326</v>
      </c>
      <c r="I780" s="232">
        <v>0.0</v>
      </c>
      <c r="J780" s="170">
        <v>52748.312</v>
      </c>
    </row>
    <row r="781">
      <c r="A781" s="229">
        <v>42668.0</v>
      </c>
      <c r="B781" s="221">
        <v>0.009126378313351011</v>
      </c>
      <c r="C781" s="221">
        <v>0.010818181818181784</v>
      </c>
      <c r="D781" s="221">
        <v>0.019944560131532865</v>
      </c>
      <c r="E781" s="233">
        <v>0.0020854479507337424</v>
      </c>
      <c r="F781" s="232">
        <v>8.376578514275025</v>
      </c>
      <c r="G781" s="171">
        <v>0.0</v>
      </c>
      <c r="H781" s="230">
        <v>4406.101125594051</v>
      </c>
      <c r="I781" s="232">
        <v>0.0</v>
      </c>
      <c r="J781" s="170">
        <v>53117.28599999999</v>
      </c>
    </row>
    <row r="782">
      <c r="A782" s="229">
        <v>42667.0</v>
      </c>
      <c r="B782" s="221">
        <v>0.00909391562333767</v>
      </c>
      <c r="C782" s="221">
        <v>0.01081272727272724</v>
      </c>
      <c r="D782" s="221">
        <v>0.019906642896064978</v>
      </c>
      <c r="E782" s="233">
        <v>0.0020854479507337424</v>
      </c>
      <c r="F782" s="232">
        <v>8.376578514275025</v>
      </c>
      <c r="G782" s="171">
        <v>0.0</v>
      </c>
      <c r="H782" s="230">
        <v>4397.724547079776</v>
      </c>
      <c r="I782" s="232">
        <v>0.0</v>
      </c>
      <c r="J782" s="170">
        <v>52861.225999999995</v>
      </c>
    </row>
    <row r="783">
      <c r="A783" s="229">
        <v>42664.0</v>
      </c>
      <c r="B783" s="221">
        <v>0.00906145293332433</v>
      </c>
      <c r="C783" s="221">
        <v>0.010807272727272695</v>
      </c>
      <c r="D783" s="221">
        <v>0.01986872566059709</v>
      </c>
      <c r="E783" s="233">
        <v>0.0020854479507337424</v>
      </c>
      <c r="F783" s="232">
        <v>8.376578514275025</v>
      </c>
      <c r="G783" s="171">
        <v>0.0</v>
      </c>
      <c r="H783" s="230">
        <v>4389.347968565501</v>
      </c>
      <c r="I783" s="232">
        <v>0.0</v>
      </c>
      <c r="J783" s="170">
        <v>52933.99799999999</v>
      </c>
    </row>
    <row r="784">
      <c r="A784" s="229">
        <v>42663.0</v>
      </c>
      <c r="B784" s="221">
        <v>0.00902899024331099</v>
      </c>
      <c r="C784" s="221">
        <v>0.01080181818181815</v>
      </c>
      <c r="D784" s="221">
        <v>0.019830808425129205</v>
      </c>
      <c r="E784" s="233">
        <v>0.0020854479507337424</v>
      </c>
      <c r="F784" s="232">
        <v>8.376578514275025</v>
      </c>
      <c r="G784" s="171">
        <v>0.0</v>
      </c>
      <c r="H784" s="230">
        <v>4380.971390051226</v>
      </c>
      <c r="I784" s="232">
        <v>0.0</v>
      </c>
      <c r="J784" s="170">
        <v>52725.694</v>
      </c>
    </row>
    <row r="785">
      <c r="A785" s="229">
        <v>42662.0</v>
      </c>
      <c r="B785" s="221">
        <v>0.00899652755329765</v>
      </c>
      <c r="C785" s="221">
        <v>0.010796363636363606</v>
      </c>
      <c r="D785" s="221">
        <v>0.019792891189661318</v>
      </c>
      <c r="E785" s="233">
        <v>0.0020854479507337424</v>
      </c>
      <c r="F785" s="232">
        <v>8.376578514275025</v>
      </c>
      <c r="G785" s="171">
        <v>0.0</v>
      </c>
      <c r="H785" s="230">
        <v>4372.594811536951</v>
      </c>
      <c r="I785" s="232">
        <v>0.0</v>
      </c>
      <c r="J785" s="170">
        <v>52632.916</v>
      </c>
    </row>
    <row r="786">
      <c r="A786" s="229">
        <v>42661.0</v>
      </c>
      <c r="B786" s="221">
        <v>0.00896406486328431</v>
      </c>
      <c r="C786" s="221">
        <v>0.010790909090909061</v>
      </c>
      <c r="D786" s="221">
        <v>0.01975497395419343</v>
      </c>
      <c r="E786" s="233">
        <v>0.0020854479507337424</v>
      </c>
      <c r="F786" s="232">
        <v>8.376578514275025</v>
      </c>
      <c r="G786" s="171">
        <v>0.0</v>
      </c>
      <c r="H786" s="230">
        <v>4364.218233022676</v>
      </c>
      <c r="I786" s="232">
        <v>0.0</v>
      </c>
      <c r="J786" s="170">
        <v>52218.782</v>
      </c>
    </row>
    <row r="787">
      <c r="A787" s="229">
        <v>42660.0</v>
      </c>
      <c r="B787" s="221">
        <v>0.008931602173270969</v>
      </c>
      <c r="C787" s="221">
        <v>0.010785454545454516</v>
      </c>
      <c r="D787" s="221">
        <v>0.019717056718725545</v>
      </c>
      <c r="E787" s="233">
        <v>0.0020854479507337424</v>
      </c>
      <c r="F787" s="232">
        <v>8.376578514275025</v>
      </c>
      <c r="G787" s="171">
        <v>0.0</v>
      </c>
      <c r="H787" s="230">
        <v>4355.841654508401</v>
      </c>
      <c r="I787" s="232">
        <v>0.0</v>
      </c>
      <c r="J787" s="170">
        <v>51997.612</v>
      </c>
    </row>
    <row r="788">
      <c r="A788" s="229">
        <v>42657.0</v>
      </c>
      <c r="B788" s="221">
        <v>0.008899139483257629</v>
      </c>
      <c r="C788" s="221">
        <v>0.010779999999999972</v>
      </c>
      <c r="D788" s="221">
        <v>0.019679139483257658</v>
      </c>
      <c r="E788" s="233">
        <v>0.0020854479507337424</v>
      </c>
      <c r="F788" s="232">
        <v>8.376578514275025</v>
      </c>
      <c r="G788" s="171">
        <v>0.0</v>
      </c>
      <c r="H788" s="230">
        <v>4347.465075994126</v>
      </c>
      <c r="I788" s="232">
        <v>0.0</v>
      </c>
      <c r="J788" s="170">
        <v>51905.174000000006</v>
      </c>
    </row>
    <row r="789">
      <c r="A789" s="229">
        <v>42656.0</v>
      </c>
      <c r="B789" s="221">
        <v>0.008866676793244288</v>
      </c>
      <c r="C789" s="221">
        <v>0.010774545454545427</v>
      </c>
      <c r="D789" s="221">
        <v>0.01964122224778977</v>
      </c>
      <c r="E789" s="233">
        <v>0.0020854479507337424</v>
      </c>
      <c r="F789" s="232">
        <v>8.376578514275025</v>
      </c>
      <c r="G789" s="171">
        <v>0.0</v>
      </c>
      <c r="H789" s="230">
        <v>4339.088497479851</v>
      </c>
      <c r="I789" s="232">
        <v>0.0</v>
      </c>
      <c r="J789" s="170">
        <v>51827.412</v>
      </c>
    </row>
    <row r="790">
      <c r="A790" s="229">
        <v>42655.0</v>
      </c>
      <c r="B790" s="221">
        <v>0.008834214103230948</v>
      </c>
      <c r="C790" s="221">
        <v>0.010769090909090883</v>
      </c>
      <c r="D790" s="221">
        <v>0.019603305012321885</v>
      </c>
      <c r="E790" s="233">
        <v>0.0020854479507337424</v>
      </c>
      <c r="F790" s="232">
        <v>8.376578514275025</v>
      </c>
      <c r="G790" s="171">
        <v>0.0</v>
      </c>
      <c r="H790" s="230">
        <v>4330.711918965576</v>
      </c>
      <c r="I790" s="232">
        <v>0.0</v>
      </c>
      <c r="J790" s="170">
        <v>51844.468</v>
      </c>
    </row>
    <row r="791">
      <c r="A791" s="229">
        <v>42654.0</v>
      </c>
      <c r="B791" s="221">
        <v>0.008801751413217608</v>
      </c>
      <c r="C791" s="221">
        <v>0.010763636363636338</v>
      </c>
      <c r="D791" s="221">
        <v>0.019565387776853998</v>
      </c>
      <c r="E791" s="233">
        <v>0.0020854479507337424</v>
      </c>
      <c r="F791" s="232">
        <v>8.376578514275025</v>
      </c>
      <c r="G791" s="171">
        <v>0.0</v>
      </c>
      <c r="H791" s="230">
        <v>4322.335340451301</v>
      </c>
      <c r="I791" s="232">
        <v>0.0</v>
      </c>
      <c r="J791" s="170">
        <v>51799.964</v>
      </c>
    </row>
    <row r="792">
      <c r="A792" s="229">
        <v>42653.0</v>
      </c>
      <c r="B792" s="221">
        <v>0.008769288723204267</v>
      </c>
      <c r="C792" s="221">
        <v>0.010758181818181793</v>
      </c>
      <c r="D792" s="221">
        <v>0.01952747054138611</v>
      </c>
      <c r="E792" s="233">
        <v>0.0020854479507337424</v>
      </c>
      <c r="F792" s="232">
        <v>8.376578514275025</v>
      </c>
      <c r="G792" s="171">
        <v>0.0</v>
      </c>
      <c r="H792" s="230">
        <v>4313.958761937026</v>
      </c>
      <c r="I792" s="232">
        <v>0.0</v>
      </c>
      <c r="J792" s="170">
        <v>51407.684</v>
      </c>
    </row>
    <row r="793">
      <c r="A793" s="229">
        <v>42650.0</v>
      </c>
      <c r="B793" s="221">
        <v>0.008736826033190927</v>
      </c>
      <c r="C793" s="221">
        <v>0.010752727272727249</v>
      </c>
      <c r="D793" s="221">
        <v>0.019489553305918225</v>
      </c>
      <c r="E793" s="233">
        <v>0.0020854479507337424</v>
      </c>
      <c r="F793" s="232">
        <v>8.376578514275025</v>
      </c>
      <c r="G793" s="171">
        <v>0.0</v>
      </c>
      <c r="H793" s="230">
        <v>4305.582183422751</v>
      </c>
      <c r="I793" s="232">
        <v>0.0</v>
      </c>
      <c r="J793" s="170">
        <v>51265.846</v>
      </c>
    </row>
    <row r="794">
      <c r="A794" s="229">
        <v>42649.0</v>
      </c>
      <c r="B794" s="221">
        <v>0.008704363343177587</v>
      </c>
      <c r="C794" s="221">
        <v>0.010747272727272704</v>
      </c>
      <c r="D794" s="221">
        <v>0.019451636070450338</v>
      </c>
      <c r="E794" s="233">
        <v>0.0020854479507337424</v>
      </c>
      <c r="F794" s="232">
        <v>8.376578514275025</v>
      </c>
      <c r="G794" s="171">
        <v>0.0</v>
      </c>
      <c r="H794" s="230">
        <v>4297.205604908476</v>
      </c>
      <c r="I794" s="232">
        <v>0.0</v>
      </c>
      <c r="J794" s="170">
        <v>51234.536</v>
      </c>
    </row>
    <row r="795">
      <c r="A795" s="229">
        <v>42648.0</v>
      </c>
      <c r="B795" s="221">
        <v>0.008671900653164246</v>
      </c>
      <c r="C795" s="221">
        <v>0.01074181818181816</v>
      </c>
      <c r="D795" s="221">
        <v>0.01941371883498245</v>
      </c>
      <c r="E795" s="233">
        <v>0.0020854479507337424</v>
      </c>
      <c r="F795" s="232">
        <v>8.376578514275025</v>
      </c>
      <c r="G795" s="171">
        <v>0.0</v>
      </c>
      <c r="H795" s="230">
        <v>4288.829026394201</v>
      </c>
      <c r="I795" s="232">
        <v>0.0</v>
      </c>
      <c r="J795" s="170">
        <v>51473.86</v>
      </c>
    </row>
    <row r="796">
      <c r="A796" s="229">
        <v>42647.0</v>
      </c>
      <c r="B796" s="221">
        <v>0.008639437963150906</v>
      </c>
      <c r="C796" s="221">
        <v>0.010736363636363615</v>
      </c>
      <c r="D796" s="221">
        <v>0.019375801599514565</v>
      </c>
      <c r="E796" s="233">
        <v>0.0020854479507337424</v>
      </c>
      <c r="F796" s="232">
        <v>8.376578514275025</v>
      </c>
      <c r="G796" s="171">
        <v>0.0</v>
      </c>
      <c r="H796" s="230">
        <v>4280.452447879926</v>
      </c>
      <c r="I796" s="232">
        <v>0.0</v>
      </c>
      <c r="J796" s="170">
        <v>52099.532</v>
      </c>
    </row>
    <row r="797">
      <c r="A797" s="229">
        <v>42646.0</v>
      </c>
      <c r="B797" s="221">
        <v>0.008606975273137566</v>
      </c>
      <c r="C797" s="221">
        <v>0.01073090909090907</v>
      </c>
      <c r="D797" s="221">
        <v>0.019337884364046678</v>
      </c>
      <c r="E797" s="233">
        <v>0.0020854479507337424</v>
      </c>
      <c r="F797" s="232">
        <v>8.376578514275025</v>
      </c>
      <c r="G797" s="171">
        <v>0.0</v>
      </c>
      <c r="H797" s="230">
        <v>4272.075869365651</v>
      </c>
      <c r="I797" s="232">
        <v>0.0</v>
      </c>
      <c r="J797" s="170">
        <v>52652.98</v>
      </c>
    </row>
    <row r="798">
      <c r="A798" s="229">
        <v>42643.0</v>
      </c>
      <c r="B798" s="221">
        <v>0.008574512583124225</v>
      </c>
      <c r="C798" s="221">
        <v>0.010725454545454526</v>
      </c>
      <c r="D798" s="221">
        <v>0.01929996712857879</v>
      </c>
      <c r="E798" s="233">
        <v>0.0020854479507337424</v>
      </c>
      <c r="F798" s="232">
        <v>8.376578514275025</v>
      </c>
      <c r="G798" s="171">
        <v>0.0</v>
      </c>
      <c r="H798" s="230">
        <v>4263.699290851376</v>
      </c>
      <c r="I798" s="232">
        <v>0.0</v>
      </c>
      <c r="J798" s="170">
        <v>52814.316</v>
      </c>
    </row>
    <row r="799">
      <c r="A799" s="229">
        <v>42642.0</v>
      </c>
      <c r="B799" s="221">
        <v>0.008542049893110885</v>
      </c>
      <c r="C799" s="221">
        <v>0.010719999999999981</v>
      </c>
      <c r="D799" s="221">
        <v>0.019262049893110905</v>
      </c>
      <c r="E799" s="233">
        <v>0.0020854479507337424</v>
      </c>
      <c r="F799" s="232">
        <v>8.376578514275025</v>
      </c>
      <c r="G799" s="171">
        <v>0.0</v>
      </c>
      <c r="H799" s="230">
        <v>4255.322712337101</v>
      </c>
      <c r="I799" s="232">
        <v>0.0</v>
      </c>
      <c r="J799" s="170">
        <v>52701.514</v>
      </c>
    </row>
    <row r="800">
      <c r="A800" s="229">
        <v>42641.0</v>
      </c>
      <c r="B800" s="221">
        <v>0.008509587203097545</v>
      </c>
      <c r="C800" s="221">
        <v>0.010714545454545437</v>
      </c>
      <c r="D800" s="221">
        <v>0.019224132657643018</v>
      </c>
      <c r="E800" s="233">
        <v>0.0020854479507337424</v>
      </c>
      <c r="F800" s="232">
        <v>8.376578514275025</v>
      </c>
      <c r="G800" s="171">
        <v>0.0</v>
      </c>
      <c r="H800" s="230">
        <v>4246.946133822826</v>
      </c>
      <c r="I800" s="232">
        <v>0.0</v>
      </c>
      <c r="J800" s="170">
        <v>52979.718</v>
      </c>
    </row>
    <row r="801">
      <c r="A801" s="229">
        <v>42640.0</v>
      </c>
      <c r="B801" s="221">
        <v>0.008477124513084204</v>
      </c>
      <c r="C801" s="221">
        <v>0.010709090909090892</v>
      </c>
      <c r="D801" s="221">
        <v>0.01918621542217513</v>
      </c>
      <c r="E801" s="233">
        <v>0.0020854479507337424</v>
      </c>
      <c r="F801" s="232">
        <v>8.376578514275025</v>
      </c>
      <c r="G801" s="171">
        <v>0.0</v>
      </c>
      <c r="H801" s="230">
        <v>4238.569555308551</v>
      </c>
      <c r="I801" s="232">
        <v>0.0</v>
      </c>
      <c r="J801" s="170">
        <v>53041.532</v>
      </c>
    </row>
    <row r="802">
      <c r="A802" s="229">
        <v>42639.0</v>
      </c>
      <c r="B802" s="221">
        <v>0.008444661823070864</v>
      </c>
      <c r="C802" s="221">
        <v>0.010703636363636347</v>
      </c>
      <c r="D802" s="221">
        <v>0.019148298186707245</v>
      </c>
      <c r="E802" s="233">
        <v>0.0020854479507337424</v>
      </c>
      <c r="F802" s="232">
        <v>8.376578514275025</v>
      </c>
      <c r="G802" s="171">
        <v>0.0</v>
      </c>
      <c r="H802" s="230">
        <v>4230.192976794276</v>
      </c>
      <c r="I802" s="232">
        <v>0.0</v>
      </c>
      <c r="J802" s="170">
        <v>53173.628000000004</v>
      </c>
    </row>
    <row r="803">
      <c r="A803" s="229">
        <v>42636.0</v>
      </c>
      <c r="B803" s="221">
        <v>0.008412199133057524</v>
      </c>
      <c r="C803" s="221">
        <v>0.010698181818181803</v>
      </c>
      <c r="D803" s="221">
        <v>0.019110380951239358</v>
      </c>
      <c r="E803" s="233">
        <v>0.0020854479507337424</v>
      </c>
      <c r="F803" s="232">
        <v>8.376578514275025</v>
      </c>
      <c r="G803" s="171">
        <v>0.0</v>
      </c>
      <c r="H803" s="230">
        <v>4221.816398280001</v>
      </c>
      <c r="I803" s="232">
        <v>0.0</v>
      </c>
      <c r="J803" s="170">
        <v>53253.69</v>
      </c>
    </row>
    <row r="804">
      <c r="A804" s="229">
        <v>42635.0</v>
      </c>
      <c r="B804" s="221">
        <v>0.008379736443044183</v>
      </c>
      <c r="C804" s="221">
        <v>0.010692727272727258</v>
      </c>
      <c r="D804" s="221">
        <v>0.01907246371577147</v>
      </c>
      <c r="E804" s="233">
        <v>0.0020854479507337424</v>
      </c>
      <c r="F804" s="232">
        <v>8.376578514275025</v>
      </c>
      <c r="G804" s="171">
        <v>0.0</v>
      </c>
      <c r="H804" s="230">
        <v>4213.439819765726</v>
      </c>
      <c r="I804" s="232">
        <v>0.0</v>
      </c>
      <c r="J804" s="170">
        <v>53197.11800000001</v>
      </c>
    </row>
    <row r="805">
      <c r="A805" s="229">
        <v>42634.0</v>
      </c>
      <c r="B805" s="221">
        <v>0.008347273753030843</v>
      </c>
      <c r="C805" s="221">
        <v>0.010687272727272714</v>
      </c>
      <c r="D805" s="221">
        <v>0.019034546480303585</v>
      </c>
      <c r="E805" s="233">
        <v>0.0020854479507337424</v>
      </c>
      <c r="F805" s="232">
        <v>8.376578514275025</v>
      </c>
      <c r="G805" s="171">
        <v>0.0</v>
      </c>
      <c r="H805" s="230">
        <v>4205.063241251451</v>
      </c>
      <c r="I805" s="232">
        <v>0.0</v>
      </c>
      <c r="J805" s="170">
        <v>53192.443999999996</v>
      </c>
    </row>
    <row r="806">
      <c r="A806" s="229">
        <v>42633.0</v>
      </c>
      <c r="B806" s="221">
        <v>0.008314811063017503</v>
      </c>
      <c r="C806" s="221">
        <v>0.010681818181818169</v>
      </c>
      <c r="D806" s="221">
        <v>0.018996629244835698</v>
      </c>
      <c r="E806" s="233">
        <v>0.0020854479507337424</v>
      </c>
      <c r="F806" s="232">
        <v>8.376578514275025</v>
      </c>
      <c r="G806" s="171">
        <v>0.0</v>
      </c>
      <c r="H806" s="230">
        <v>4196.6866627371755</v>
      </c>
      <c r="I806" s="232">
        <v>0.0</v>
      </c>
      <c r="J806" s="170">
        <v>52828.568</v>
      </c>
    </row>
    <row r="807">
      <c r="A807" s="229">
        <v>42632.0</v>
      </c>
      <c r="B807" s="221">
        <v>0.008282348373004162</v>
      </c>
      <c r="C807" s="221">
        <v>0.010676363636363624</v>
      </c>
      <c r="D807" s="221">
        <v>0.01895871200936781</v>
      </c>
      <c r="E807" s="233">
        <v>0.0020854479507337424</v>
      </c>
      <c r="F807" s="232">
        <v>8.376578514275025</v>
      </c>
      <c r="G807" s="171">
        <v>0.0</v>
      </c>
      <c r="H807" s="230">
        <v>4188.3100842229005</v>
      </c>
      <c r="I807" s="232">
        <v>0.0</v>
      </c>
      <c r="J807" s="170">
        <v>52767.426</v>
      </c>
    </row>
    <row r="808">
      <c r="A808" s="229">
        <v>42629.0</v>
      </c>
      <c r="B808" s="221">
        <v>0.008249885682990822</v>
      </c>
      <c r="C808" s="221">
        <v>0.01067090909090908</v>
      </c>
      <c r="D808" s="221">
        <v>0.018920794773899925</v>
      </c>
      <c r="E808" s="233">
        <v>0.0020854479507337424</v>
      </c>
      <c r="F808" s="232">
        <v>8.376578514275025</v>
      </c>
      <c r="G808" s="171">
        <v>0.0</v>
      </c>
      <c r="H808" s="230">
        <v>4179.9335057086255</v>
      </c>
      <c r="I808" s="232">
        <v>0.0</v>
      </c>
      <c r="J808" s="170">
        <v>52641.214</v>
      </c>
    </row>
    <row r="809">
      <c r="A809" s="229">
        <v>42628.0</v>
      </c>
      <c r="B809" s="221">
        <v>0.008217422992977482</v>
      </c>
      <c r="C809" s="221">
        <v>0.010665454545454535</v>
      </c>
      <c r="D809" s="221">
        <v>0.018882877538432038</v>
      </c>
      <c r="E809" s="233">
        <v>0.0020854479507337424</v>
      </c>
      <c r="F809" s="232">
        <v>8.376578514275025</v>
      </c>
      <c r="G809" s="171">
        <v>0.0</v>
      </c>
      <c r="H809" s="230">
        <v>4171.5569271943505</v>
      </c>
      <c r="I809" s="232">
        <v>0.0</v>
      </c>
      <c r="J809" s="170">
        <v>52504.808</v>
      </c>
    </row>
    <row r="810">
      <c r="A810" s="229">
        <v>42627.0</v>
      </c>
      <c r="B810" s="221">
        <v>0.008184960302964141</v>
      </c>
      <c r="C810" s="221">
        <v>0.01065999999999999</v>
      </c>
      <c r="D810" s="221">
        <v>0.01884496030296415</v>
      </c>
      <c r="E810" s="233">
        <v>0.0020854479507337424</v>
      </c>
      <c r="F810" s="232">
        <v>8.376578514275025</v>
      </c>
      <c r="G810" s="171">
        <v>0.0</v>
      </c>
      <c r="H810" s="230">
        <v>4163.180348680075</v>
      </c>
      <c r="I810" s="232">
        <v>0.0</v>
      </c>
      <c r="J810" s="170">
        <v>52381.718</v>
      </c>
    </row>
    <row r="811">
      <c r="A811" s="229">
        <v>42626.0</v>
      </c>
      <c r="B811" s="221">
        <v>0.008152497612950801</v>
      </c>
      <c r="C811" s="221">
        <v>0.010654545454545446</v>
      </c>
      <c r="D811" s="221">
        <v>0.018807043067496265</v>
      </c>
      <c r="E811" s="233">
        <v>0.0020854479507337424</v>
      </c>
      <c r="F811" s="232">
        <v>8.376578514275025</v>
      </c>
      <c r="G811" s="171">
        <v>0.0</v>
      </c>
      <c r="H811" s="230">
        <v>4154.8037701658</v>
      </c>
      <c r="I811" s="232">
        <v>0.0</v>
      </c>
      <c r="J811" s="170">
        <v>52623.562</v>
      </c>
    </row>
    <row r="812">
      <c r="A812" s="229">
        <v>42625.0</v>
      </c>
      <c r="B812" s="221">
        <v>0.00812003492293746</v>
      </c>
      <c r="C812" s="221">
        <v>0.010649090909090901</v>
      </c>
      <c r="D812" s="221">
        <v>0.018769125832028378</v>
      </c>
      <c r="E812" s="233">
        <v>0.0020854479507337424</v>
      </c>
      <c r="F812" s="232">
        <v>8.376578514275025</v>
      </c>
      <c r="G812" s="171">
        <v>0.0</v>
      </c>
      <c r="H812" s="230">
        <v>4146.427191651525</v>
      </c>
      <c r="I812" s="232">
        <v>0.0</v>
      </c>
      <c r="J812" s="170">
        <v>52807.502</v>
      </c>
    </row>
    <row r="813">
      <c r="A813" s="229">
        <v>42622.0</v>
      </c>
      <c r="B813" s="221">
        <v>0.00808757223292412</v>
      </c>
      <c r="C813" s="221">
        <v>0.010643636363636357</v>
      </c>
      <c r="D813" s="221">
        <v>0.01873120859656049</v>
      </c>
      <c r="E813" s="233">
        <v>0.0020854479507337424</v>
      </c>
      <c r="F813" s="232">
        <v>8.376578514275025</v>
      </c>
      <c r="G813" s="171">
        <v>0.0</v>
      </c>
      <c r="H813" s="230">
        <v>4138.05061313725</v>
      </c>
      <c r="I813" s="232">
        <v>0.0</v>
      </c>
      <c r="J813" s="170">
        <v>53062.202</v>
      </c>
    </row>
    <row r="814">
      <c r="A814" s="229">
        <v>42621.0</v>
      </c>
      <c r="B814" s="221">
        <v>0.00805510954291078</v>
      </c>
      <c r="C814" s="221">
        <v>0.010638181818181812</v>
      </c>
      <c r="D814" s="221">
        <v>0.018693291361092605</v>
      </c>
      <c r="E814" s="233">
        <v>0.0020854479507337424</v>
      </c>
      <c r="F814" s="232">
        <v>8.376578514275025</v>
      </c>
      <c r="G814" s="171">
        <v>0.0</v>
      </c>
      <c r="H814" s="230">
        <v>4129.674034622975</v>
      </c>
      <c r="I814" s="232">
        <v>0.0</v>
      </c>
      <c r="J814" s="170">
        <v>53139.43</v>
      </c>
    </row>
    <row r="815">
      <c r="A815" s="229">
        <v>42620.0</v>
      </c>
      <c r="B815" s="221">
        <v>0.00802264685289744</v>
      </c>
      <c r="C815" s="221">
        <v>0.010632727272727268</v>
      </c>
      <c r="D815" s="221">
        <v>0.018655374125624718</v>
      </c>
      <c r="E815" s="233">
        <v>0.0020854479507337424</v>
      </c>
      <c r="F815" s="232">
        <v>8.376578514275025</v>
      </c>
      <c r="G815" s="171">
        <v>0.0</v>
      </c>
      <c r="H815" s="230">
        <v>4121.2974561087</v>
      </c>
      <c r="I815" s="232">
        <v>0.0</v>
      </c>
      <c r="J815" s="170">
        <v>53537.728</v>
      </c>
    </row>
    <row r="816">
      <c r="A816" s="229">
        <v>42619.0</v>
      </c>
      <c r="B816" s="221">
        <v>0.0079901841628841</v>
      </c>
      <c r="C816" s="221">
        <v>0.010627272727272723</v>
      </c>
      <c r="D816" s="221">
        <v>0.01861745689015683</v>
      </c>
      <c r="E816" s="233">
        <v>0.0020854479507337424</v>
      </c>
      <c r="F816" s="232">
        <v>8.376578514275025</v>
      </c>
      <c r="G816" s="171">
        <v>0.0</v>
      </c>
      <c r="H816" s="230">
        <v>4112.920877594425</v>
      </c>
      <c r="I816" s="232">
        <v>0.0</v>
      </c>
      <c r="J816" s="170">
        <v>53198.852</v>
      </c>
    </row>
    <row r="817">
      <c r="A817" s="229">
        <v>42618.0</v>
      </c>
      <c r="B817" s="221">
        <v>0.007957721472870759</v>
      </c>
      <c r="C817" s="221">
        <v>0.010621818181818178</v>
      </c>
      <c r="D817" s="221">
        <v>0.018579539654688944</v>
      </c>
      <c r="E817" s="233">
        <v>0.0020854479507337424</v>
      </c>
      <c r="F817" s="232">
        <v>8.376578514275025</v>
      </c>
      <c r="G817" s="171">
        <v>0.0</v>
      </c>
      <c r="H817" s="230">
        <v>4104.54429908015</v>
      </c>
      <c r="I817" s="232">
        <v>0.0</v>
      </c>
      <c r="J817" s="170">
        <v>53337.724</v>
      </c>
    </row>
    <row r="818">
      <c r="A818" s="229">
        <v>42615.0</v>
      </c>
      <c r="B818" s="221">
        <v>0.007925258782857419</v>
      </c>
      <c r="C818" s="221">
        <v>0.010616363636363634</v>
      </c>
      <c r="D818" s="221">
        <v>0.018541622419221058</v>
      </c>
      <c r="E818" s="233">
        <v>0.0020854479507337424</v>
      </c>
      <c r="F818" s="232">
        <v>8.37657851427548</v>
      </c>
      <c r="G818" s="171">
        <v>0.0</v>
      </c>
      <c r="H818" s="230">
        <v>4096.167720565875</v>
      </c>
      <c r="I818" s="232">
        <v>0.0</v>
      </c>
      <c r="J818" s="170">
        <v>53094.242</v>
      </c>
    </row>
    <row r="819">
      <c r="A819" s="229">
        <v>42614.0</v>
      </c>
      <c r="B819" s="221">
        <v>0.007892796092844078</v>
      </c>
      <c r="C819" s="221">
        <v>0.01061090909090909</v>
      </c>
      <c r="D819" s="221">
        <v>0.01850370518375317</v>
      </c>
      <c r="E819" s="233">
        <v>0.0020854479507337424</v>
      </c>
      <c r="F819" s="232">
        <v>8.376578514275025</v>
      </c>
      <c r="G819" s="171">
        <v>0.0</v>
      </c>
      <c r="H819" s="230">
        <v>4087.7911420515998</v>
      </c>
      <c r="I819" s="232">
        <v>0.0</v>
      </c>
      <c r="J819" s="170">
        <v>52738.084</v>
      </c>
    </row>
    <row r="820">
      <c r="A820" s="229">
        <v>42613.0</v>
      </c>
      <c r="B820" s="221">
        <v>0.007860333402830738</v>
      </c>
      <c r="C820" s="221">
        <v>0.010605454545454545</v>
      </c>
      <c r="D820" s="221">
        <v>0.018465787948285284</v>
      </c>
      <c r="E820" s="233">
        <v>0.0020854479507337424</v>
      </c>
      <c r="F820" s="232">
        <v>8.376578514275025</v>
      </c>
      <c r="G820" s="171">
        <v>0.0</v>
      </c>
      <c r="H820" s="230">
        <v>4079.4145635373247</v>
      </c>
      <c r="I820" s="232">
        <v>0.0</v>
      </c>
      <c r="J820" s="170">
        <v>52835.68</v>
      </c>
    </row>
    <row r="821">
      <c r="A821" s="229">
        <v>42612.0</v>
      </c>
      <c r="B821" s="21">
        <v>0.007827870712817398</v>
      </c>
      <c r="C821" s="21">
        <v>0.0106</v>
      </c>
      <c r="D821" s="159">
        <v>0.018427870712817398</v>
      </c>
      <c r="E821" s="159">
        <v>6.677288568882056E-4</v>
      </c>
      <c r="F821" s="232">
        <v>12.292745693245251</v>
      </c>
      <c r="G821" s="171">
        <v>0.0</v>
      </c>
      <c r="H821" s="230">
        <v>4071.0379850230497</v>
      </c>
      <c r="I821" s="232">
        <v>0.0</v>
      </c>
      <c r="J821" s="170">
        <v>53078.71</v>
      </c>
    </row>
    <row r="822">
      <c r="A822" s="229">
        <v>42611.0</v>
      </c>
      <c r="B822" s="221">
        <v>0.007822226641410048</v>
      </c>
      <c r="C822" s="221">
        <v>0.010549999999999997</v>
      </c>
      <c r="D822" s="221">
        <v>0.018372226641410035</v>
      </c>
      <c r="E822" s="233">
        <v>6.677288568882056E-4</v>
      </c>
      <c r="F822" s="232">
        <v>12.292745693244797</v>
      </c>
      <c r="G822" s="171">
        <v>0.0</v>
      </c>
      <c r="H822" s="230">
        <v>4058.7452393298045</v>
      </c>
      <c r="I822" s="232">
        <v>0.0</v>
      </c>
      <c r="J822" s="170">
        <v>53167.106</v>
      </c>
    </row>
    <row r="823">
      <c r="A823" s="229">
        <v>42608.0</v>
      </c>
      <c r="B823" s="221">
        <v>0.007816582570002697</v>
      </c>
      <c r="C823" s="221">
        <v>0.010499999999999997</v>
      </c>
      <c r="D823" s="221">
        <v>0.018316582570002685</v>
      </c>
      <c r="E823" s="233">
        <v>6.677288568882056E-4</v>
      </c>
      <c r="F823" s="232">
        <v>12.292745693244797</v>
      </c>
      <c r="G823" s="171">
        <v>0.0</v>
      </c>
      <c r="H823" s="230">
        <v>4046.4524936365597</v>
      </c>
      <c r="I823" s="232">
        <v>0.0</v>
      </c>
      <c r="J823" s="170">
        <v>53001.49800000001</v>
      </c>
    </row>
    <row r="824">
      <c r="A824" s="229">
        <v>42607.0</v>
      </c>
      <c r="B824" s="221">
        <v>0.007810938498595346</v>
      </c>
      <c r="C824" s="221">
        <v>0.010449999999999997</v>
      </c>
      <c r="D824" s="221">
        <v>0.018260938498595336</v>
      </c>
      <c r="E824" s="233">
        <v>6.677288568882056E-4</v>
      </c>
      <c r="F824" s="232">
        <v>12.292745693244797</v>
      </c>
      <c r="G824" s="171">
        <v>0.0</v>
      </c>
      <c r="H824" s="230">
        <v>4034.159747943315</v>
      </c>
      <c r="I824" s="232">
        <v>0.0</v>
      </c>
      <c r="J824" s="170">
        <v>52671.295999999995</v>
      </c>
    </row>
    <row r="825">
      <c r="A825" s="229">
        <v>42606.0</v>
      </c>
      <c r="B825" s="221">
        <v>0.007805294427187996</v>
      </c>
      <c r="C825" s="221">
        <v>0.010399999999999998</v>
      </c>
      <c r="D825" s="221">
        <v>0.018205294427187987</v>
      </c>
      <c r="E825" s="233">
        <v>6.677288568882056E-4</v>
      </c>
      <c r="F825" s="232">
        <v>12.292745693244797</v>
      </c>
      <c r="G825" s="171">
        <v>0.0</v>
      </c>
      <c r="H825" s="230">
        <v>4021.86700225007</v>
      </c>
      <c r="I825" s="232">
        <v>0.0</v>
      </c>
      <c r="J825" s="170">
        <v>52861.950000000004</v>
      </c>
    </row>
    <row r="826">
      <c r="A826" s="229">
        <v>42605.0</v>
      </c>
      <c r="B826" s="221">
        <v>0.007799650355780645</v>
      </c>
      <c r="C826" s="221">
        <v>0.010349999999999998</v>
      </c>
      <c r="D826" s="221">
        <v>0.018149650355780637</v>
      </c>
      <c r="E826" s="233">
        <v>6.677288568882056E-4</v>
      </c>
      <c r="F826" s="232">
        <v>12.292745693244797</v>
      </c>
      <c r="G826" s="171">
        <v>0.0</v>
      </c>
      <c r="H826" s="230">
        <v>4009.5742565568253</v>
      </c>
      <c r="I826" s="232">
        <v>0.0</v>
      </c>
      <c r="J826" s="170">
        <v>53032.406</v>
      </c>
    </row>
    <row r="827">
      <c r="A827" s="229">
        <v>42604.0</v>
      </c>
      <c r="B827" s="221">
        <v>0.007794006284373295</v>
      </c>
      <c r="C827" s="221">
        <v>0.010299999999999998</v>
      </c>
      <c r="D827" s="221">
        <v>0.018094006284373288</v>
      </c>
      <c r="E827" s="233">
        <v>6.677288568882056E-4</v>
      </c>
      <c r="F827" s="232">
        <v>12.292745693244797</v>
      </c>
      <c r="G827" s="171">
        <v>0.0</v>
      </c>
      <c r="H827" s="230">
        <v>3997.2815108635805</v>
      </c>
      <c r="I827" s="232">
        <v>0.0</v>
      </c>
      <c r="J827" s="170">
        <v>52954.446</v>
      </c>
    </row>
    <row r="828">
      <c r="A828" s="229">
        <v>42601.0</v>
      </c>
      <c r="B828" s="221">
        <v>0.007788362212965944</v>
      </c>
      <c r="C828" s="221">
        <v>0.010249999999999999</v>
      </c>
      <c r="D828" s="221">
        <v>0.01803836221296594</v>
      </c>
      <c r="E828" s="233">
        <v>6.677288568882056E-4</v>
      </c>
      <c r="F828" s="232">
        <v>12.292745693244797</v>
      </c>
      <c r="G828" s="171">
        <v>0.0</v>
      </c>
      <c r="H828" s="230">
        <v>3984.9887651703357</v>
      </c>
      <c r="I828" s="232">
        <v>0.0</v>
      </c>
      <c r="J828" s="170">
        <v>52951.838</v>
      </c>
    </row>
    <row r="829">
      <c r="A829" s="229">
        <v>42600.0</v>
      </c>
      <c r="B829" s="221">
        <v>0.007782718141558594</v>
      </c>
      <c r="C829" s="221">
        <v>0.010199999999999999</v>
      </c>
      <c r="D829" s="221">
        <v>0.01798271814155859</v>
      </c>
      <c r="E829" s="233">
        <v>6.677288568882056E-4</v>
      </c>
      <c r="F829" s="232">
        <v>12.292745693244797</v>
      </c>
      <c r="G829" s="171">
        <v>0.0</v>
      </c>
      <c r="H829" s="230">
        <v>3972.696019477091</v>
      </c>
      <c r="I829" s="232">
        <v>0.0</v>
      </c>
      <c r="J829" s="170">
        <v>53204.962</v>
      </c>
    </row>
    <row r="830">
      <c r="A830" s="229">
        <v>42599.0</v>
      </c>
      <c r="B830" s="221">
        <v>0.0077770740701512435</v>
      </c>
      <c r="C830" s="221">
        <v>0.01015</v>
      </c>
      <c r="D830" s="221">
        <v>0.01792707407015124</v>
      </c>
      <c r="E830" s="233">
        <v>6.677288568882056E-4</v>
      </c>
      <c r="F830" s="232">
        <v>12.292745693244797</v>
      </c>
      <c r="G830" s="171">
        <v>0.0</v>
      </c>
      <c r="H830" s="230">
        <v>3960.403273783846</v>
      </c>
      <c r="I830" s="232">
        <v>0.0</v>
      </c>
      <c r="J830" s="170">
        <v>53153.505999999994</v>
      </c>
    </row>
    <row r="831">
      <c r="A831" s="229">
        <v>42598.0</v>
      </c>
      <c r="B831" s="221">
        <v>0.007771429998743893</v>
      </c>
      <c r="C831" s="221">
        <v>0.0101</v>
      </c>
      <c r="D831" s="221">
        <v>0.01787142999874389</v>
      </c>
      <c r="E831" s="233">
        <v>6.677288568882056E-4</v>
      </c>
      <c r="F831" s="232">
        <v>12.292745693244797</v>
      </c>
      <c r="G831" s="171">
        <v>0.0</v>
      </c>
      <c r="H831" s="230">
        <v>3948.1105280906013</v>
      </c>
      <c r="I831" s="232">
        <v>0.0</v>
      </c>
      <c r="J831" s="170">
        <v>53339.225999999995</v>
      </c>
    </row>
    <row r="832">
      <c r="A832" s="229">
        <v>42597.0</v>
      </c>
      <c r="B832" s="221">
        <v>0.0077657859273365425</v>
      </c>
      <c r="C832" s="221">
        <v>0.01005</v>
      </c>
      <c r="D832" s="221">
        <v>0.01781578592733654</v>
      </c>
      <c r="E832" s="233">
        <v>6.677288568882056E-4</v>
      </c>
      <c r="F832" s="232">
        <v>12.292745693244797</v>
      </c>
      <c r="G832" s="171">
        <v>0.0</v>
      </c>
      <c r="H832" s="230">
        <v>3935.8177823973565</v>
      </c>
      <c r="I832" s="232">
        <v>0.0</v>
      </c>
      <c r="J832" s="170">
        <v>53615.734000000004</v>
      </c>
    </row>
    <row r="833">
      <c r="A833" s="229">
        <v>42594.0</v>
      </c>
      <c r="B833" s="21">
        <v>0.007760141855929192</v>
      </c>
      <c r="C833" s="21">
        <v>0.01</v>
      </c>
      <c r="D833" s="159">
        <v>0.017760141855929192</v>
      </c>
      <c r="E833" s="159">
        <v>0.001067584752937379</v>
      </c>
      <c r="F833" s="232">
        <v>9.827003684553347</v>
      </c>
      <c r="G833" s="171">
        <v>0.0</v>
      </c>
      <c r="H833" s="230">
        <v>3923.5250367041117</v>
      </c>
      <c r="I833" s="232">
        <v>0.0</v>
      </c>
      <c r="J833" s="170">
        <v>54102.60999999999</v>
      </c>
    </row>
    <row r="834">
      <c r="A834" s="229">
        <v>42593.0</v>
      </c>
      <c r="B834" s="221">
        <v>0.007757325824556805</v>
      </c>
      <c r="C834" s="221">
        <v>0.009958333333333347</v>
      </c>
      <c r="D834" s="221">
        <v>0.01771565915789017</v>
      </c>
      <c r="E834" s="233">
        <v>0.001067584752937379</v>
      </c>
      <c r="F834" s="232">
        <v>9.827003684552437</v>
      </c>
      <c r="G834" s="171">
        <v>0.0</v>
      </c>
      <c r="H834" s="230">
        <v>3913.6980330195584</v>
      </c>
      <c r="I834" s="232">
        <v>0.0</v>
      </c>
      <c r="J834" s="170">
        <v>53890.416</v>
      </c>
    </row>
    <row r="835">
      <c r="A835" s="229">
        <v>42592.0</v>
      </c>
      <c r="B835" s="221">
        <v>0.007754509793184414</v>
      </c>
      <c r="C835" s="221">
        <v>0.00991666666666668</v>
      </c>
      <c r="D835" s="221">
        <v>0.017671176459851112</v>
      </c>
      <c r="E835" s="233">
        <v>0.001067584752937379</v>
      </c>
      <c r="F835" s="232">
        <v>9.827003684552437</v>
      </c>
      <c r="G835" s="171">
        <v>0.0</v>
      </c>
      <c r="H835" s="230">
        <v>3903.871029335006</v>
      </c>
      <c r="I835" s="232">
        <v>0.0</v>
      </c>
      <c r="J835" s="170">
        <v>53917.53999999999</v>
      </c>
    </row>
    <row r="836">
      <c r="A836" s="229">
        <v>42591.0</v>
      </c>
      <c r="B836" s="221">
        <v>0.007751693761812023</v>
      </c>
      <c r="C836" s="221">
        <v>0.009875000000000012</v>
      </c>
      <c r="D836" s="221">
        <v>0.017626693761812053</v>
      </c>
      <c r="E836" s="233">
        <v>0.001067584752937379</v>
      </c>
      <c r="F836" s="232">
        <v>9.827003684552437</v>
      </c>
      <c r="G836" s="171">
        <v>0.0</v>
      </c>
      <c r="H836" s="230">
        <v>3894.0440256504535</v>
      </c>
      <c r="I836" s="232">
        <v>0.0</v>
      </c>
      <c r="J836" s="170">
        <v>53828.85399999999</v>
      </c>
    </row>
    <row r="837">
      <c r="A837" s="229">
        <v>42590.0</v>
      </c>
      <c r="B837" s="221">
        <v>0.007748877730439632</v>
      </c>
      <c r="C837" s="221">
        <v>0.009833333333333345</v>
      </c>
      <c r="D837" s="221">
        <v>0.017582211063772994</v>
      </c>
      <c r="E837" s="233">
        <v>0.001067584752937379</v>
      </c>
      <c r="F837" s="232">
        <v>9.827003684552437</v>
      </c>
      <c r="G837" s="171">
        <v>0.0</v>
      </c>
      <c r="H837" s="230">
        <v>3884.217021965901</v>
      </c>
      <c r="I837" s="232">
        <v>0.0</v>
      </c>
      <c r="J837" s="170">
        <v>53957.83999999999</v>
      </c>
    </row>
    <row r="838">
      <c r="A838" s="229">
        <v>42587.0</v>
      </c>
      <c r="B838" s="221">
        <v>0.007746061699067241</v>
      </c>
      <c r="C838" s="221">
        <v>0.009791666666666678</v>
      </c>
      <c r="D838" s="221">
        <v>0.017537728365733935</v>
      </c>
      <c r="E838" s="233">
        <v>0.001067584752937379</v>
      </c>
      <c r="F838" s="232">
        <v>9.827003684552437</v>
      </c>
      <c r="G838" s="171">
        <v>0.0</v>
      </c>
      <c r="H838" s="230">
        <v>3874.3900182813486</v>
      </c>
      <c r="I838" s="232">
        <v>0.0</v>
      </c>
      <c r="J838" s="170">
        <v>54011.744</v>
      </c>
    </row>
    <row r="839">
      <c r="A839" s="229">
        <v>42586.0</v>
      </c>
      <c r="B839" s="221">
        <v>0.00774324566769485</v>
      </c>
      <c r="C839" s="221">
        <v>0.00975000000000001</v>
      </c>
      <c r="D839" s="221">
        <v>0.017493245667694876</v>
      </c>
      <c r="E839" s="233">
        <v>0.001067584752937379</v>
      </c>
      <c r="F839" s="232">
        <v>9.827003684552437</v>
      </c>
      <c r="G839" s="171">
        <v>0.0</v>
      </c>
      <c r="H839" s="230">
        <v>3864.563014596796</v>
      </c>
      <c r="I839" s="232">
        <v>0.0</v>
      </c>
      <c r="J839" s="170">
        <v>54383.316</v>
      </c>
    </row>
    <row r="840">
      <c r="A840" s="229">
        <v>42585.0</v>
      </c>
      <c r="B840" s="221">
        <v>0.007740429636322459</v>
      </c>
      <c r="C840" s="221">
        <v>0.009708333333333343</v>
      </c>
      <c r="D840" s="221">
        <v>0.017448762969655817</v>
      </c>
      <c r="E840" s="233">
        <v>0.001067584752937379</v>
      </c>
      <c r="F840" s="232">
        <v>9.827003684552437</v>
      </c>
      <c r="G840" s="171">
        <v>0.0</v>
      </c>
      <c r="H840" s="230">
        <v>3854.7360109122437</v>
      </c>
      <c r="I840" s="232">
        <v>0.0</v>
      </c>
      <c r="J840" s="170">
        <v>53965.85199999999</v>
      </c>
    </row>
    <row r="841">
      <c r="A841" s="229">
        <v>42584.0</v>
      </c>
      <c r="B841" s="221">
        <v>0.007737613604950068</v>
      </c>
      <c r="C841" s="221">
        <v>0.009666666666666676</v>
      </c>
      <c r="D841" s="221">
        <v>0.017404280271616758</v>
      </c>
      <c r="E841" s="233">
        <v>0.001067584752937379</v>
      </c>
      <c r="F841" s="232">
        <v>9.827003684552437</v>
      </c>
      <c r="G841" s="171">
        <v>0.0</v>
      </c>
      <c r="H841" s="230">
        <v>3844.9090072276913</v>
      </c>
      <c r="I841" s="232">
        <v>0.0</v>
      </c>
      <c r="J841" s="170">
        <v>53994.92</v>
      </c>
    </row>
    <row r="842">
      <c r="A842" s="229">
        <v>42583.0</v>
      </c>
      <c r="B842" s="221">
        <v>0.007734797573577677</v>
      </c>
      <c r="C842" s="221">
        <v>0.009625000000000009</v>
      </c>
      <c r="D842" s="221">
        <v>0.0173597975735777</v>
      </c>
      <c r="E842" s="233">
        <v>0.001067584752937379</v>
      </c>
      <c r="F842" s="232">
        <v>9.827003684552437</v>
      </c>
      <c r="G842" s="171">
        <v>0.0</v>
      </c>
      <c r="H842" s="230">
        <v>3835.082003543139</v>
      </c>
      <c r="I842" s="232">
        <v>0.0</v>
      </c>
      <c r="J842" s="170">
        <v>53911.539999999986</v>
      </c>
    </row>
    <row r="843">
      <c r="A843" s="229">
        <v>42580.0</v>
      </c>
      <c r="B843" s="221">
        <v>0.0077319815422052865</v>
      </c>
      <c r="C843" s="221">
        <v>0.009583333333333341</v>
      </c>
      <c r="D843" s="221">
        <v>0.01731531487553864</v>
      </c>
      <c r="E843" s="233">
        <v>0.001067584752937379</v>
      </c>
      <c r="F843" s="232">
        <v>9.827003684552437</v>
      </c>
      <c r="G843" s="171">
        <v>0.0</v>
      </c>
      <c r="H843" s="230">
        <v>3825.2549998585864</v>
      </c>
      <c r="I843" s="232">
        <v>0.0</v>
      </c>
      <c r="J843" s="170">
        <v>53863.084</v>
      </c>
    </row>
    <row r="844">
      <c r="A844" s="229">
        <v>42579.0</v>
      </c>
      <c r="B844" s="221">
        <v>0.007729165510832896</v>
      </c>
      <c r="C844" s="221">
        <v>0.009541666666666674</v>
      </c>
      <c r="D844" s="221">
        <v>0.01727083217749958</v>
      </c>
      <c r="E844" s="233">
        <v>0.001067584752937379</v>
      </c>
      <c r="F844" s="232">
        <v>9.827003684552437</v>
      </c>
      <c r="G844" s="171">
        <v>0.0</v>
      </c>
      <c r="H844" s="230">
        <v>3815.427996174034</v>
      </c>
      <c r="I844" s="232">
        <v>0.0</v>
      </c>
      <c r="J844" s="170">
        <v>54019.47400000001</v>
      </c>
    </row>
    <row r="845">
      <c r="A845" s="229">
        <v>42578.0</v>
      </c>
      <c r="B845" s="221">
        <v>0.007726349479460505</v>
      </c>
      <c r="C845" s="221">
        <v>0.009500000000000007</v>
      </c>
      <c r="D845" s="221">
        <v>0.017226349479460522</v>
      </c>
      <c r="E845" s="233">
        <v>0.001067584752937379</v>
      </c>
      <c r="F845" s="232">
        <v>9.827003684552437</v>
      </c>
      <c r="G845" s="171">
        <v>0.0</v>
      </c>
      <c r="H845" s="230">
        <v>3805.6009924894815</v>
      </c>
      <c r="I845" s="232">
        <v>0.0</v>
      </c>
      <c r="J845" s="170">
        <v>54178.327999999994</v>
      </c>
    </row>
    <row r="846">
      <c r="A846" s="229">
        <v>42577.0</v>
      </c>
      <c r="B846" s="221">
        <v>0.007723533448088114</v>
      </c>
      <c r="C846" s="221">
        <v>0.00945833333333334</v>
      </c>
      <c r="D846" s="221">
        <v>0.017181866781421463</v>
      </c>
      <c r="E846" s="233">
        <v>0.001067584752937379</v>
      </c>
      <c r="F846" s="232">
        <v>9.827003684552437</v>
      </c>
      <c r="G846" s="171">
        <v>0.0</v>
      </c>
      <c r="H846" s="230">
        <v>3795.773988804929</v>
      </c>
      <c r="I846" s="232">
        <v>0.0</v>
      </c>
      <c r="J846" s="170">
        <v>54000.178</v>
      </c>
    </row>
    <row r="847">
      <c r="A847" s="229">
        <v>42576.0</v>
      </c>
      <c r="B847" s="221">
        <v>0.007720717416715723</v>
      </c>
      <c r="C847" s="221">
        <v>0.009416666666666672</v>
      </c>
      <c r="D847" s="221">
        <v>0.017137384083382404</v>
      </c>
      <c r="E847" s="233">
        <v>0.001067584752937379</v>
      </c>
      <c r="F847" s="232">
        <v>9.827003684552437</v>
      </c>
      <c r="G847" s="171">
        <v>0.0</v>
      </c>
      <c r="H847" s="230">
        <v>3785.9469851203767</v>
      </c>
      <c r="I847" s="232">
        <v>0.0</v>
      </c>
      <c r="J847" s="170">
        <v>54087.920000000006</v>
      </c>
    </row>
    <row r="848">
      <c r="A848" s="229">
        <v>42573.0</v>
      </c>
      <c r="B848" s="221">
        <v>0.007717901385343332</v>
      </c>
      <c r="C848" s="221">
        <v>0.009375000000000005</v>
      </c>
      <c r="D848" s="221">
        <v>0.017092901385343345</v>
      </c>
      <c r="E848" s="233">
        <v>0.001067584752937379</v>
      </c>
      <c r="F848" s="232">
        <v>9.827003684552437</v>
      </c>
      <c r="G848" s="171">
        <v>0.0</v>
      </c>
      <c r="H848" s="230">
        <v>3776.1199814358242</v>
      </c>
      <c r="I848" s="232">
        <v>0.0</v>
      </c>
      <c r="J848" s="170">
        <v>54071.488000000005</v>
      </c>
    </row>
    <row r="849">
      <c r="A849" s="229">
        <v>42572.0</v>
      </c>
      <c r="B849" s="221">
        <v>0.007715085353970941</v>
      </c>
      <c r="C849" s="221">
        <v>0.009333333333333338</v>
      </c>
      <c r="D849" s="221">
        <v>0.017048418687304286</v>
      </c>
      <c r="E849" s="233">
        <v>0.001067584752937379</v>
      </c>
      <c r="F849" s="232">
        <v>9.827003684552437</v>
      </c>
      <c r="G849" s="171">
        <v>0.0</v>
      </c>
      <c r="H849" s="230">
        <v>3766.292977751272</v>
      </c>
      <c r="I849" s="232">
        <v>0.0</v>
      </c>
      <c r="J849" s="170">
        <v>53923.062</v>
      </c>
    </row>
    <row r="850">
      <c r="A850" s="229">
        <v>42571.0</v>
      </c>
      <c r="B850" s="221">
        <v>0.00771226932259855</v>
      </c>
      <c r="C850" s="221">
        <v>0.00929166666666667</v>
      </c>
      <c r="D850" s="221">
        <v>0.017003935989265227</v>
      </c>
      <c r="E850" s="233">
        <v>0.001067584752937379</v>
      </c>
      <c r="F850" s="232">
        <v>9.827003684552437</v>
      </c>
      <c r="G850" s="171">
        <v>0.0</v>
      </c>
      <c r="H850" s="230">
        <v>3756.4659740667194</v>
      </c>
      <c r="I850" s="232">
        <v>0.0</v>
      </c>
      <c r="J850" s="170">
        <v>53805.594000000005</v>
      </c>
    </row>
    <row r="851">
      <c r="A851" s="229">
        <v>42570.0</v>
      </c>
      <c r="B851" s="221">
        <v>0.007709453291226159</v>
      </c>
      <c r="C851" s="221">
        <v>0.009250000000000003</v>
      </c>
      <c r="D851" s="221">
        <v>0.016959453291226168</v>
      </c>
      <c r="E851" s="233">
        <v>0.001067584752937379</v>
      </c>
      <c r="F851" s="232">
        <v>9.827003684552437</v>
      </c>
      <c r="G851" s="171">
        <v>0.0</v>
      </c>
      <c r="H851" s="230">
        <v>3746.638970382167</v>
      </c>
      <c r="I851" s="232">
        <v>0.0</v>
      </c>
      <c r="J851" s="170">
        <v>54180.028000000006</v>
      </c>
    </row>
    <row r="852">
      <c r="A852" s="229">
        <v>42569.0</v>
      </c>
      <c r="B852" s="221">
        <v>0.007706637259853768</v>
      </c>
      <c r="C852" s="221">
        <v>0.009208333333333336</v>
      </c>
      <c r="D852" s="221">
        <v>0.01691497059318711</v>
      </c>
      <c r="E852" s="233">
        <v>0.001067584752937379</v>
      </c>
      <c r="F852" s="232">
        <v>9.827003684552437</v>
      </c>
      <c r="G852" s="171">
        <v>0.0</v>
      </c>
      <c r="H852" s="230">
        <v>3736.8119666976145</v>
      </c>
      <c r="I852" s="232">
        <v>0.0</v>
      </c>
      <c r="J852" s="170">
        <v>53744.336</v>
      </c>
    </row>
    <row r="853">
      <c r="A853" s="229">
        <v>42566.0</v>
      </c>
      <c r="B853" s="221">
        <v>0.0077038212284813775</v>
      </c>
      <c r="C853" s="221">
        <v>0.009166666666666668</v>
      </c>
      <c r="D853" s="221">
        <v>0.01687048789514805</v>
      </c>
      <c r="E853" s="233">
        <v>0.001067584752937379</v>
      </c>
      <c r="F853" s="232">
        <v>9.827003684552437</v>
      </c>
      <c r="G853" s="171">
        <v>0.0</v>
      </c>
      <c r="H853" s="230">
        <v>3726.984963013062</v>
      </c>
      <c r="I853" s="232">
        <v>0.0</v>
      </c>
      <c r="J853" s="170">
        <v>53816.516</v>
      </c>
    </row>
    <row r="854">
      <c r="A854" s="229">
        <v>42565.0</v>
      </c>
      <c r="B854" s="221">
        <v>0.007701005197108987</v>
      </c>
      <c r="C854" s="221">
        <v>0.009125000000000001</v>
      </c>
      <c r="D854" s="221">
        <v>0.01682600519710899</v>
      </c>
      <c r="E854" s="233">
        <v>0.001067584752937379</v>
      </c>
      <c r="F854" s="232">
        <v>9.827003684552437</v>
      </c>
      <c r="G854" s="171">
        <v>0.0</v>
      </c>
      <c r="H854" s="230">
        <v>3717.1579593285096</v>
      </c>
      <c r="I854" s="232">
        <v>0.0</v>
      </c>
      <c r="J854" s="170">
        <v>53703.329999999994</v>
      </c>
    </row>
    <row r="855">
      <c r="A855" s="229">
        <v>42564.0</v>
      </c>
      <c r="B855" s="221">
        <v>0.007698189165736596</v>
      </c>
      <c r="C855" s="221">
        <v>0.009083333333333334</v>
      </c>
      <c r="D855" s="221">
        <v>0.01678152249906993</v>
      </c>
      <c r="E855" s="233">
        <v>0.001067584752937379</v>
      </c>
      <c r="F855" s="232">
        <v>9.827003684552437</v>
      </c>
      <c r="G855" s="171">
        <v>0.0</v>
      </c>
      <c r="H855" s="230">
        <v>3707.330955643957</v>
      </c>
      <c r="I855" s="232">
        <v>0.0</v>
      </c>
      <c r="J855" s="170">
        <v>54128.57399999999</v>
      </c>
    </row>
    <row r="856">
      <c r="A856" s="229">
        <v>42563.0</v>
      </c>
      <c r="B856" s="221">
        <v>0.007695373134364205</v>
      </c>
      <c r="C856" s="221">
        <v>0.009041666666666667</v>
      </c>
      <c r="D856" s="221">
        <v>0.016737039801030872</v>
      </c>
      <c r="E856" s="233">
        <v>0.001067584752937379</v>
      </c>
      <c r="F856" s="232">
        <v>9.827003684552437</v>
      </c>
      <c r="G856" s="171">
        <v>0.0</v>
      </c>
      <c r="H856" s="230">
        <v>3697.5039519594047</v>
      </c>
      <c r="I856" s="232">
        <v>0.0</v>
      </c>
      <c r="J856" s="170">
        <v>54156.83799999999</v>
      </c>
    </row>
    <row r="857">
      <c r="A857" s="229">
        <v>42562.0</v>
      </c>
      <c r="B857" s="21">
        <v>0.007692557102991814</v>
      </c>
      <c r="C857" s="21">
        <v>0.009</v>
      </c>
      <c r="D857" s="159">
        <v>0.016692557102991813</v>
      </c>
      <c r="E857" s="159">
        <v>9.975502328359587E-4</v>
      </c>
      <c r="F857" s="232">
        <v>220.3762416793561</v>
      </c>
      <c r="G857" s="171">
        <v>0.0</v>
      </c>
      <c r="H857" s="230">
        <v>3687.6769482748523</v>
      </c>
      <c r="I857" s="232">
        <v>0.0</v>
      </c>
      <c r="J857" s="170">
        <v>54825.018</v>
      </c>
    </row>
    <row r="858">
      <c r="A858" s="229">
        <v>42559.0</v>
      </c>
      <c r="B858" s="21">
        <v>0.007695006870155855</v>
      </c>
      <c r="C858" s="21">
        <v>0.008</v>
      </c>
      <c r="D858" s="159">
        <v>0.015695006870155855</v>
      </c>
      <c r="E858" s="159">
        <v>0.0022055736526100465</v>
      </c>
      <c r="F858" s="232">
        <v>32.48331203849284</v>
      </c>
      <c r="G858" s="171">
        <v>0.0</v>
      </c>
      <c r="H858" s="230">
        <v>3467.300706595496</v>
      </c>
      <c r="I858" s="232">
        <v>0.0</v>
      </c>
      <c r="J858" s="170">
        <v>54729.76</v>
      </c>
    </row>
    <row r="859">
      <c r="A859" s="229">
        <v>42558.0</v>
      </c>
      <c r="B859" s="221">
        <v>0.007614635293315187</v>
      </c>
      <c r="C859" s="221">
        <v>0.007933333333333329</v>
      </c>
      <c r="D859" s="221">
        <v>0.015547968626648515</v>
      </c>
      <c r="E859" s="233">
        <v>0.0022055736526100465</v>
      </c>
      <c r="F859" s="232">
        <v>32.48331203849193</v>
      </c>
      <c r="G859" s="171">
        <v>0.0</v>
      </c>
      <c r="H859" s="230">
        <v>3434.8173945570034</v>
      </c>
      <c r="I859" s="232">
        <v>0.0</v>
      </c>
      <c r="J859" s="170">
        <v>54520.314</v>
      </c>
    </row>
    <row r="860">
      <c r="A860" s="229">
        <v>42557.0</v>
      </c>
      <c r="B860" s="221">
        <v>0.007534263716474517</v>
      </c>
      <c r="C860" s="221">
        <v>0.007866666666666662</v>
      </c>
      <c r="D860" s="221">
        <v>0.015400930383141179</v>
      </c>
      <c r="E860" s="233">
        <v>0.0022055736526100465</v>
      </c>
      <c r="F860" s="232">
        <v>32.48331203849193</v>
      </c>
      <c r="G860" s="171">
        <v>0.0</v>
      </c>
      <c r="H860" s="230">
        <v>3402.3340825185114</v>
      </c>
      <c r="I860" s="232">
        <v>0.0</v>
      </c>
      <c r="J860" s="170">
        <v>54794.69</v>
      </c>
    </row>
    <row r="861">
      <c r="A861" s="229">
        <v>42556.0</v>
      </c>
      <c r="B861" s="221">
        <v>0.007453892139633847</v>
      </c>
      <c r="C861" s="221">
        <v>0.007799999999999995</v>
      </c>
      <c r="D861" s="221">
        <v>0.015253892139633842</v>
      </c>
      <c r="E861" s="233">
        <v>0.0022055736526100465</v>
      </c>
      <c r="F861" s="232">
        <v>32.48331203849193</v>
      </c>
      <c r="G861" s="171">
        <v>0.0</v>
      </c>
      <c r="H861" s="230">
        <v>3369.8507704800195</v>
      </c>
      <c r="I861" s="232">
        <v>0.0</v>
      </c>
      <c r="J861" s="170">
        <v>54238.568</v>
      </c>
    </row>
    <row r="862">
      <c r="A862" s="229">
        <v>42555.0</v>
      </c>
      <c r="B862" s="221">
        <v>0.007373520562793177</v>
      </c>
      <c r="C862" s="221">
        <v>0.007733333333333329</v>
      </c>
      <c r="D862" s="221">
        <v>0.015106853896126506</v>
      </c>
      <c r="E862" s="233">
        <v>0.0022055736526100465</v>
      </c>
      <c r="F862" s="232">
        <v>32.48331203849193</v>
      </c>
      <c r="G862" s="171">
        <v>0.0</v>
      </c>
      <c r="H862" s="230">
        <v>3337.3674584415276</v>
      </c>
      <c r="I862" s="232">
        <v>0.0</v>
      </c>
      <c r="J862" s="170">
        <v>54061.950000000004</v>
      </c>
    </row>
    <row r="863">
      <c r="A863" s="229">
        <v>42552.0</v>
      </c>
      <c r="B863" s="221">
        <v>0.007293148985952507</v>
      </c>
      <c r="C863" s="221">
        <v>0.007666666666666663</v>
      </c>
      <c r="D863" s="221">
        <v>0.01495981565261917</v>
      </c>
      <c r="E863" s="233">
        <v>0.0022055736526100465</v>
      </c>
      <c r="F863" s="232">
        <v>32.48331203849193</v>
      </c>
      <c r="G863" s="171">
        <v>0.0</v>
      </c>
      <c r="H863" s="230">
        <v>3304.8841464030356</v>
      </c>
      <c r="I863" s="232">
        <v>0.0</v>
      </c>
      <c r="J863" s="170">
        <v>53684.725999999995</v>
      </c>
    </row>
    <row r="864">
      <c r="A864" s="229">
        <v>42551.0</v>
      </c>
      <c r="B864" s="221">
        <v>0.007212777409111837</v>
      </c>
      <c r="C864" s="221">
        <v>0.0075999999999999965</v>
      </c>
      <c r="D864" s="221">
        <v>0.014812777409111834</v>
      </c>
      <c r="E864" s="233">
        <v>0.0022055736526100465</v>
      </c>
      <c r="F864" s="232">
        <v>32.48331203849193</v>
      </c>
      <c r="G864" s="171">
        <v>0.0</v>
      </c>
      <c r="H864" s="230">
        <v>3272.4008343645437</v>
      </c>
      <c r="I864" s="232">
        <v>0.0</v>
      </c>
      <c r="J864" s="170">
        <v>53310.256</v>
      </c>
    </row>
    <row r="865">
      <c r="A865" s="229">
        <v>42550.0</v>
      </c>
      <c r="B865" s="221">
        <v>0.007132405832271167</v>
      </c>
      <c r="C865" s="221">
        <v>0.00753333333333333</v>
      </c>
      <c r="D865" s="221">
        <v>0.014665739165604498</v>
      </c>
      <c r="E865" s="233">
        <v>0.0022055736526100465</v>
      </c>
      <c r="F865" s="232">
        <v>32.48331203849193</v>
      </c>
      <c r="G865" s="171">
        <v>0.0</v>
      </c>
      <c r="H865" s="230">
        <v>3239.9175223260518</v>
      </c>
      <c r="I865" s="232">
        <v>0.0</v>
      </c>
      <c r="J865" s="170">
        <v>53391.778</v>
      </c>
    </row>
    <row r="866">
      <c r="A866" s="229">
        <v>42549.0</v>
      </c>
      <c r="B866" s="221">
        <v>0.0070520342554304975</v>
      </c>
      <c r="C866" s="221">
        <v>0.007466666666666664</v>
      </c>
      <c r="D866" s="221">
        <v>0.014518700922097161</v>
      </c>
      <c r="E866" s="233">
        <v>0.0022055736526100465</v>
      </c>
      <c r="F866" s="232">
        <v>32.48331203849193</v>
      </c>
      <c r="G866" s="171">
        <v>0.0</v>
      </c>
      <c r="H866" s="230">
        <v>3207.43421028756</v>
      </c>
      <c r="I866" s="232">
        <v>0.0</v>
      </c>
      <c r="J866" s="170">
        <v>53339.966</v>
      </c>
    </row>
    <row r="867">
      <c r="A867" s="229">
        <v>42548.0</v>
      </c>
      <c r="B867" s="221">
        <v>0.0069716626785898276</v>
      </c>
      <c r="C867" s="221">
        <v>0.007399999999999998</v>
      </c>
      <c r="D867" s="221">
        <v>0.014371662678589825</v>
      </c>
      <c r="E867" s="233">
        <v>0.0022055736526100465</v>
      </c>
      <c r="F867" s="232">
        <v>32.48331203849193</v>
      </c>
      <c r="G867" s="171">
        <v>0.0</v>
      </c>
      <c r="H867" s="230">
        <v>3174.950898249068</v>
      </c>
      <c r="I867" s="232">
        <v>0.0</v>
      </c>
      <c r="J867" s="170">
        <v>53758.185999999994</v>
      </c>
    </row>
    <row r="868">
      <c r="A868" s="229">
        <v>42545.0</v>
      </c>
      <c r="B868" s="221">
        <v>0.006891291101749158</v>
      </c>
      <c r="C868" s="221">
        <v>0.0073333333333333315</v>
      </c>
      <c r="D868" s="221">
        <v>0.014224624435082489</v>
      </c>
      <c r="E868" s="233">
        <v>0.0022055736526100465</v>
      </c>
      <c r="F868" s="232">
        <v>32.48331203849193</v>
      </c>
      <c r="G868" s="171">
        <v>0.0</v>
      </c>
      <c r="H868" s="230">
        <v>3142.467586210576</v>
      </c>
      <c r="I868" s="232">
        <v>0.0</v>
      </c>
      <c r="J868" s="170">
        <v>53121.61</v>
      </c>
    </row>
    <row r="869">
      <c r="A869" s="229">
        <v>42544.0</v>
      </c>
      <c r="B869" s="221">
        <v>0.006810919524908488</v>
      </c>
      <c r="C869" s="221">
        <v>0.007266666666666665</v>
      </c>
      <c r="D869" s="221">
        <v>0.014077586191575153</v>
      </c>
      <c r="E869" s="233">
        <v>0.0022055736526100465</v>
      </c>
      <c r="F869" s="232">
        <v>32.48331203849193</v>
      </c>
      <c r="G869" s="171">
        <v>0.0</v>
      </c>
      <c r="H869" s="230">
        <v>3109.984274172084</v>
      </c>
      <c r="I869" s="232">
        <v>0.0</v>
      </c>
      <c r="J869" s="170">
        <v>50542.01</v>
      </c>
    </row>
    <row r="870">
      <c r="A870" s="229">
        <v>42543.0</v>
      </c>
      <c r="B870" s="221">
        <v>0.006730547948067818</v>
      </c>
      <c r="C870" s="221">
        <v>0.007199999999999999</v>
      </c>
      <c r="D870" s="221">
        <v>0.013930547948067817</v>
      </c>
      <c r="E870" s="233">
        <v>0.0022055736526100465</v>
      </c>
      <c r="F870" s="232">
        <v>32.48331203849193</v>
      </c>
      <c r="G870" s="171">
        <v>0.0</v>
      </c>
      <c r="H870" s="230">
        <v>3077.500962133592</v>
      </c>
      <c r="I870" s="232">
        <v>0.0</v>
      </c>
      <c r="J870" s="170">
        <v>51034.012</v>
      </c>
    </row>
    <row r="871">
      <c r="A871" s="229">
        <v>42542.0</v>
      </c>
      <c r="B871" s="221">
        <v>0.006650176371227148</v>
      </c>
      <c r="C871" s="221">
        <v>0.007133333333333333</v>
      </c>
      <c r="D871" s="221">
        <v>0.01378350970456048</v>
      </c>
      <c r="E871" s="233">
        <v>0.0022055736526100465</v>
      </c>
      <c r="F871" s="232">
        <v>32.48331203849193</v>
      </c>
      <c r="G871" s="171">
        <v>0.0</v>
      </c>
      <c r="H871" s="230">
        <v>3045.0176500951</v>
      </c>
      <c r="I871" s="232">
        <v>0.0</v>
      </c>
      <c r="J871" s="170">
        <v>51151.28999999999</v>
      </c>
    </row>
    <row r="872">
      <c r="A872" s="229">
        <v>42541.0</v>
      </c>
      <c r="B872" s="221">
        <v>0.006569804794386478</v>
      </c>
      <c r="C872" s="221">
        <v>0.007066666666666666</v>
      </c>
      <c r="D872" s="221">
        <v>0.013636471461053144</v>
      </c>
      <c r="E872" s="233">
        <v>0.0022055736526100465</v>
      </c>
      <c r="F872" s="232">
        <v>32.48331203849193</v>
      </c>
      <c r="G872" s="171">
        <v>0.0</v>
      </c>
      <c r="H872" s="230">
        <v>3012.5343380566082</v>
      </c>
      <c r="I872" s="232">
        <v>0.0</v>
      </c>
      <c r="J872" s="170">
        <v>51342.759999999995</v>
      </c>
    </row>
    <row r="873">
      <c r="A873" s="229">
        <v>42538.0</v>
      </c>
      <c r="B873" s="221">
        <v>0.006489433217545808</v>
      </c>
      <c r="C873" s="221">
        <v>0.007</v>
      </c>
      <c r="D873" s="221">
        <v>0.013489433217545808</v>
      </c>
      <c r="E873" s="221">
        <v>0.0010680170647898567</v>
      </c>
      <c r="F873" s="232">
        <v>78.64786455203694</v>
      </c>
      <c r="G873" s="171">
        <v>0.0</v>
      </c>
      <c r="H873" s="230">
        <v>2980.0510260181163</v>
      </c>
      <c r="I873" s="232">
        <v>0.0</v>
      </c>
      <c r="J873" s="170">
        <v>51693.793999999994</v>
      </c>
    </row>
    <row r="874">
      <c r="A874" s="229">
        <v>42537.0</v>
      </c>
      <c r="B874" s="221">
        <v>0.0064667608626158566</v>
      </c>
      <c r="C874" s="221">
        <v>0.006666666666666666</v>
      </c>
      <c r="D874" s="221">
        <v>0.013133427529282524</v>
      </c>
      <c r="E874" s="233">
        <v>0.0010680170647898567</v>
      </c>
      <c r="F874" s="232">
        <v>78.64786455203694</v>
      </c>
      <c r="G874" s="171">
        <v>0.0</v>
      </c>
      <c r="H874" s="230">
        <v>2901.4031614660794</v>
      </c>
      <c r="I874" s="232">
        <v>0.0</v>
      </c>
      <c r="J874" s="170">
        <v>52688.898</v>
      </c>
    </row>
    <row r="875">
      <c r="A875" s="229">
        <v>42536.0</v>
      </c>
      <c r="B875" s="221">
        <v>0.006444088507685904</v>
      </c>
      <c r="C875" s="221">
        <v>0.006333333333333333</v>
      </c>
      <c r="D875" s="221">
        <v>0.012777421841019238</v>
      </c>
      <c r="E875" s="233">
        <v>0.0010680170647898567</v>
      </c>
      <c r="F875" s="232">
        <v>78.64786455203694</v>
      </c>
      <c r="G875" s="171">
        <v>0.0</v>
      </c>
      <c r="H875" s="230">
        <v>2822.7552969140424</v>
      </c>
      <c r="I875" s="232">
        <v>0.0</v>
      </c>
      <c r="J875" s="170">
        <v>51710.09</v>
      </c>
    </row>
    <row r="876">
      <c r="A876" s="229">
        <v>42535.0</v>
      </c>
      <c r="B876" s="159">
        <v>0.006421416152755952</v>
      </c>
      <c r="C876" s="159">
        <v>0.006</v>
      </c>
      <c r="D876" s="159">
        <v>0.012421416152755951</v>
      </c>
      <c r="E876" s="159">
        <v>-0.00599941709951891</v>
      </c>
      <c r="F876" s="232">
        <v>-18.93394078439087</v>
      </c>
      <c r="G876" s="171">
        <v>0.0</v>
      </c>
      <c r="H876" s="230">
        <v>2744.1074323620055</v>
      </c>
      <c r="I876" s="232">
        <v>0.0</v>
      </c>
      <c r="J876" s="170">
        <v>51766.324</v>
      </c>
    </row>
    <row r="877">
      <c r="A877" s="229">
        <v>42534.0</v>
      </c>
      <c r="B877" s="221">
        <v>0.006521407825606176</v>
      </c>
      <c r="C877" s="221">
        <v>0.005985714285714271</v>
      </c>
      <c r="D877" s="221">
        <v>0.012507122111320497</v>
      </c>
      <c r="E877" s="233">
        <v>-0.00599941709951891</v>
      </c>
      <c r="F877" s="232">
        <v>-18.93394078440315</v>
      </c>
      <c r="G877" s="171">
        <v>0.0</v>
      </c>
      <c r="H877" s="230">
        <v>2763.0413731463964</v>
      </c>
      <c r="I877" s="232">
        <v>0.0</v>
      </c>
      <c r="J877" s="170">
        <v>51434.768</v>
      </c>
    </row>
    <row r="878">
      <c r="A878" s="229">
        <v>42531.0</v>
      </c>
      <c r="B878" s="221">
        <v>0.006621399498456446</v>
      </c>
      <c r="C878" s="221">
        <v>0.005971428571428557</v>
      </c>
      <c r="D878" s="221">
        <v>0.012592828069885053</v>
      </c>
      <c r="E878" s="233">
        <v>-0.00599941709951891</v>
      </c>
      <c r="F878" s="232">
        <v>-18.93394078440315</v>
      </c>
      <c r="G878" s="171">
        <v>0.0</v>
      </c>
      <c r="H878" s="230">
        <v>2781.9753139307995</v>
      </c>
      <c r="I878" s="232">
        <v>0.0</v>
      </c>
      <c r="J878" s="170">
        <v>51159.312000000005</v>
      </c>
    </row>
    <row r="879">
      <c r="A879" s="229">
        <v>42530.0</v>
      </c>
      <c r="B879" s="221">
        <v>0.006721391171306716</v>
      </c>
      <c r="C879" s="221">
        <v>0.005957142857142843</v>
      </c>
      <c r="D879" s="221">
        <v>0.012678534028449609</v>
      </c>
      <c r="E879" s="233">
        <v>-0.00599941709951891</v>
      </c>
      <c r="F879" s="232">
        <v>-18.93394078440315</v>
      </c>
      <c r="G879" s="171">
        <v>0.0</v>
      </c>
      <c r="H879" s="230">
        <v>2800.9092547152027</v>
      </c>
      <c r="I879" s="232">
        <v>0.0</v>
      </c>
      <c r="J879" s="170">
        <v>50954.904</v>
      </c>
    </row>
    <row r="880">
      <c r="A880" s="229">
        <v>42529.0</v>
      </c>
      <c r="B880" s="221">
        <v>0.0068213828441569865</v>
      </c>
      <c r="C880" s="221">
        <v>0.005942857142857129</v>
      </c>
      <c r="D880" s="221">
        <v>0.012764239987014165</v>
      </c>
      <c r="E880" s="233">
        <v>-0.00599941709951891</v>
      </c>
      <c r="F880" s="232">
        <v>-18.93394078440315</v>
      </c>
      <c r="G880" s="171">
        <v>0.0</v>
      </c>
      <c r="H880" s="230">
        <v>2819.843195499606</v>
      </c>
      <c r="I880" s="232">
        <v>0.0</v>
      </c>
      <c r="J880" s="170">
        <v>50383.174</v>
      </c>
    </row>
    <row r="881">
      <c r="A881" s="229">
        <v>42528.0</v>
      </c>
      <c r="B881" s="221">
        <v>0.0069213745170072566</v>
      </c>
      <c r="C881" s="221">
        <v>0.005928571428571415</v>
      </c>
      <c r="D881" s="221">
        <v>0.012849945945578721</v>
      </c>
      <c r="E881" s="233">
        <v>-0.00599941709951891</v>
      </c>
      <c r="F881" s="232">
        <v>-18.93394078440315</v>
      </c>
      <c r="G881" s="171">
        <v>0.0</v>
      </c>
      <c r="H881" s="230">
        <v>2838.777136284009</v>
      </c>
      <c r="I881" s="232">
        <v>0.0</v>
      </c>
      <c r="J881" s="170">
        <v>50091.904</v>
      </c>
    </row>
    <row r="882">
      <c r="A882" s="229">
        <v>42527.0</v>
      </c>
      <c r="B882" s="221">
        <v>0.007021366189857527</v>
      </c>
      <c r="C882" s="221">
        <v>0.005914285714285701</v>
      </c>
      <c r="D882" s="221">
        <v>0.012935651904143277</v>
      </c>
      <c r="E882" s="233">
        <v>-0.00599941709951891</v>
      </c>
      <c r="F882" s="232">
        <v>-18.93394078440315</v>
      </c>
      <c r="G882" s="171">
        <v>0.0</v>
      </c>
      <c r="H882" s="230">
        <v>2857.711077068412</v>
      </c>
      <c r="I882" s="232">
        <v>0.0</v>
      </c>
      <c r="J882" s="170">
        <v>50136.848000000005</v>
      </c>
    </row>
    <row r="883">
      <c r="A883" s="229">
        <v>42524.0</v>
      </c>
      <c r="B883" s="221">
        <v>0.007121357862707797</v>
      </c>
      <c r="C883" s="221">
        <v>0.005899999999999987</v>
      </c>
      <c r="D883" s="221">
        <v>0.013021357862707833</v>
      </c>
      <c r="E883" s="233">
        <v>-0.00599941709951891</v>
      </c>
      <c r="F883" s="232">
        <v>-18.93394078440315</v>
      </c>
      <c r="G883" s="171">
        <v>0.0</v>
      </c>
      <c r="H883" s="230">
        <v>2876.6450178528153</v>
      </c>
      <c r="I883" s="232">
        <v>0.0</v>
      </c>
      <c r="J883" s="170">
        <v>50046.496</v>
      </c>
    </row>
    <row r="884">
      <c r="A884" s="229">
        <v>42523.0</v>
      </c>
      <c r="B884" s="221">
        <v>0.007221349535558067</v>
      </c>
      <c r="C884" s="221">
        <v>0.005885714285714273</v>
      </c>
      <c r="D884" s="221">
        <v>0.013107063821272389</v>
      </c>
      <c r="E884" s="233">
        <v>-0.00599941709951891</v>
      </c>
      <c r="F884" s="232">
        <v>-18.93394078440315</v>
      </c>
      <c r="G884" s="171">
        <v>0.0</v>
      </c>
      <c r="H884" s="230">
        <v>2895.5789586372184</v>
      </c>
      <c r="I884" s="232">
        <v>0.0</v>
      </c>
      <c r="J884" s="170">
        <v>49982.798</v>
      </c>
    </row>
    <row r="885">
      <c r="A885" s="229">
        <v>42522.0</v>
      </c>
      <c r="B885" s="221">
        <v>0.007321341208408337</v>
      </c>
      <c r="C885" s="221">
        <v>0.005871428571428559</v>
      </c>
      <c r="D885" s="221">
        <v>0.013192769779836945</v>
      </c>
      <c r="E885" s="233">
        <v>-0.00599941709951891</v>
      </c>
      <c r="F885" s="232">
        <v>-18.93394078440315</v>
      </c>
      <c r="G885" s="171">
        <v>0.0</v>
      </c>
      <c r="H885" s="230">
        <v>2914.5128994216216</v>
      </c>
      <c r="I885" s="232">
        <v>0.0</v>
      </c>
      <c r="J885" s="170">
        <v>49851.244</v>
      </c>
    </row>
    <row r="886">
      <c r="A886" s="229">
        <v>42521.0</v>
      </c>
      <c r="B886" s="221">
        <v>0.007421332881258607</v>
      </c>
      <c r="C886" s="221">
        <v>0.005857142857142845</v>
      </c>
      <c r="D886" s="221">
        <v>0.013278475738401501</v>
      </c>
      <c r="E886" s="233">
        <v>-0.00599941709951891</v>
      </c>
      <c r="F886" s="232">
        <v>-18.93394078440315</v>
      </c>
      <c r="G886" s="171">
        <v>0.0</v>
      </c>
      <c r="H886" s="230">
        <v>2933.4468402060247</v>
      </c>
      <c r="I886" s="232">
        <v>0.0</v>
      </c>
      <c r="J886" s="170">
        <v>50109.92600000001</v>
      </c>
    </row>
    <row r="887">
      <c r="A887" s="229">
        <v>42520.0</v>
      </c>
      <c r="B887" s="221">
        <v>0.007521324554108877</v>
      </c>
      <c r="C887" s="221">
        <v>0.0058428571428571306</v>
      </c>
      <c r="D887" s="221">
        <v>0.013364181696966057</v>
      </c>
      <c r="E887" s="233">
        <v>-0.00599941709951891</v>
      </c>
      <c r="F887" s="232">
        <v>-18.93394078440315</v>
      </c>
      <c r="G887" s="171">
        <v>0.0</v>
      </c>
      <c r="H887" s="230">
        <v>2952.380780990428</v>
      </c>
      <c r="I887" s="232">
        <v>0.0</v>
      </c>
      <c r="J887" s="170">
        <v>49921.164000000004</v>
      </c>
    </row>
    <row r="888">
      <c r="A888" s="229">
        <v>42517.0</v>
      </c>
      <c r="B888" s="221">
        <v>0.007621316226959147</v>
      </c>
      <c r="C888" s="221">
        <v>0.0058285714285714165</v>
      </c>
      <c r="D888" s="221">
        <v>0.013449887655530613</v>
      </c>
      <c r="E888" s="233">
        <v>-0.00599941709951891</v>
      </c>
      <c r="F888" s="232">
        <v>-18.93394078440315</v>
      </c>
      <c r="G888" s="171">
        <v>0.0</v>
      </c>
      <c r="H888" s="230">
        <v>2971.314721774831</v>
      </c>
      <c r="I888" s="232">
        <v>0.0</v>
      </c>
      <c r="J888" s="170">
        <v>50135.638000000006</v>
      </c>
    </row>
    <row r="889">
      <c r="A889" s="229">
        <v>42516.0</v>
      </c>
      <c r="B889" s="221">
        <v>0.007721307899809417</v>
      </c>
      <c r="C889" s="221">
        <v>0.005814285714285702</v>
      </c>
      <c r="D889" s="221">
        <v>0.013535593614095169</v>
      </c>
      <c r="E889" s="233">
        <v>-0.00599941709951891</v>
      </c>
      <c r="F889" s="232">
        <v>-18.93394078440315</v>
      </c>
      <c r="G889" s="171">
        <v>0.0</v>
      </c>
      <c r="H889" s="230">
        <v>2990.248662559234</v>
      </c>
      <c r="I889" s="232">
        <v>0.0</v>
      </c>
      <c r="J889" s="170">
        <v>50069.712</v>
      </c>
    </row>
    <row r="890">
      <c r="A890" s="229">
        <v>42515.0</v>
      </c>
      <c r="B890" s="221">
        <v>0.007821299572659687</v>
      </c>
      <c r="C890" s="221">
        <v>0.005799999999999988</v>
      </c>
      <c r="D890" s="221">
        <v>0.013621299572659725</v>
      </c>
      <c r="E890" s="233">
        <v>-0.00599941709951891</v>
      </c>
      <c r="F890" s="232">
        <v>-18.93394078440315</v>
      </c>
      <c r="G890" s="171">
        <v>0.0</v>
      </c>
      <c r="H890" s="230">
        <v>3009.1826033436373</v>
      </c>
      <c r="I890" s="232">
        <v>0.0</v>
      </c>
      <c r="J890" s="170">
        <v>50193.792</v>
      </c>
    </row>
    <row r="891">
      <c r="A891" s="229">
        <v>42514.0</v>
      </c>
      <c r="B891" s="221">
        <v>0.007921291245509958</v>
      </c>
      <c r="C891" s="221">
        <v>0.005785714285714274</v>
      </c>
      <c r="D891" s="221">
        <v>0.013707005531224281</v>
      </c>
      <c r="E891" s="233">
        <v>-0.00599941709951891</v>
      </c>
      <c r="F891" s="232">
        <v>-18.93394078440315</v>
      </c>
      <c r="G891" s="171">
        <v>0.0</v>
      </c>
      <c r="H891" s="230">
        <v>3028.1165441280405</v>
      </c>
      <c r="I891" s="232">
        <v>0.0</v>
      </c>
      <c r="J891" s="170">
        <v>50388.130000000005</v>
      </c>
    </row>
    <row r="892">
      <c r="A892" s="229">
        <v>42513.0</v>
      </c>
      <c r="B892" s="221">
        <v>0.00802128291836023</v>
      </c>
      <c r="C892" s="221">
        <v>0.00577142857142856</v>
      </c>
      <c r="D892" s="221">
        <v>0.013792711489788837</v>
      </c>
      <c r="E892" s="233">
        <v>-0.00599941709951891</v>
      </c>
      <c r="F892" s="232">
        <v>-18.93394078440315</v>
      </c>
      <c r="G892" s="171">
        <v>0.0</v>
      </c>
      <c r="H892" s="230">
        <v>3047.0504849124436</v>
      </c>
      <c r="I892" s="232">
        <v>0.0</v>
      </c>
      <c r="J892" s="170">
        <v>50517.074</v>
      </c>
    </row>
    <row r="893">
      <c r="A893" s="229">
        <v>42510.0</v>
      </c>
      <c r="B893" s="221">
        <v>0.0081212745912105</v>
      </c>
      <c r="C893" s="221">
        <v>0.005757142857142846</v>
      </c>
      <c r="D893" s="221">
        <v>0.013878417448353393</v>
      </c>
      <c r="E893" s="233">
        <v>-0.00599941709951891</v>
      </c>
      <c r="F893" s="232">
        <v>-18.93394078440315</v>
      </c>
      <c r="G893" s="171">
        <v>0.0</v>
      </c>
      <c r="H893" s="230">
        <v>3065.9844256968468</v>
      </c>
      <c r="I893" s="232">
        <v>0.0</v>
      </c>
      <c r="J893" s="170">
        <v>50585.142</v>
      </c>
    </row>
    <row r="894">
      <c r="A894" s="229">
        <v>42509.0</v>
      </c>
      <c r="B894" s="221">
        <v>0.008221266264060771</v>
      </c>
      <c r="C894" s="221">
        <v>0.005742857142857132</v>
      </c>
      <c r="D894" s="221">
        <v>0.01396412340691795</v>
      </c>
      <c r="E894" s="233">
        <v>-0.00599941709951891</v>
      </c>
      <c r="F894" s="232">
        <v>-18.93394078440315</v>
      </c>
      <c r="G894" s="171">
        <v>0.0</v>
      </c>
      <c r="H894" s="230">
        <v>3084.91836648125</v>
      </c>
      <c r="I894" s="232">
        <v>0.0</v>
      </c>
      <c r="J894" s="170">
        <v>50528.774</v>
      </c>
    </row>
    <row r="895">
      <c r="A895" s="229">
        <v>42508.0</v>
      </c>
      <c r="B895" s="221">
        <v>0.008321257936911042</v>
      </c>
      <c r="C895" s="221">
        <v>0.005728571428571418</v>
      </c>
      <c r="D895" s="221">
        <v>0.014049829365482505</v>
      </c>
      <c r="E895" s="233">
        <v>-0.00599941709951891</v>
      </c>
      <c r="F895" s="232">
        <v>-18.93394078440315</v>
      </c>
      <c r="G895" s="171">
        <v>0.0</v>
      </c>
      <c r="H895" s="230">
        <v>3103.852307265653</v>
      </c>
      <c r="I895" s="232">
        <v>0.0</v>
      </c>
      <c r="J895" s="170">
        <v>50863.511999999995</v>
      </c>
    </row>
    <row r="896">
      <c r="A896" s="229">
        <v>42507.0</v>
      </c>
      <c r="B896" s="221">
        <v>0.008421249609761313</v>
      </c>
      <c r="C896" s="221">
        <v>0.005714285714285704</v>
      </c>
      <c r="D896" s="221">
        <v>0.014135535324047061</v>
      </c>
      <c r="E896" s="233">
        <v>-0.00599941709951891</v>
      </c>
      <c r="F896" s="232">
        <v>-18.93394078440315</v>
      </c>
      <c r="G896" s="171">
        <v>0.0</v>
      </c>
      <c r="H896" s="230">
        <v>3122.786248050056</v>
      </c>
      <c r="I896" s="232">
        <v>0.0</v>
      </c>
      <c r="J896" s="170">
        <v>50875.598000000005</v>
      </c>
    </row>
    <row r="897">
      <c r="A897" s="229">
        <v>42506.0</v>
      </c>
      <c r="B897" s="221">
        <v>0.008521241282611584</v>
      </c>
      <c r="C897" s="221">
        <v>0.00569999999999999</v>
      </c>
      <c r="D897" s="221">
        <v>0.014221241282611617</v>
      </c>
      <c r="E897" s="233">
        <v>-0.00599941709951891</v>
      </c>
      <c r="F897" s="232">
        <v>-18.93394078440315</v>
      </c>
      <c r="G897" s="171">
        <v>0.0</v>
      </c>
      <c r="H897" s="230">
        <v>3141.7201888344593</v>
      </c>
      <c r="I897" s="232">
        <v>0.0</v>
      </c>
      <c r="J897" s="170">
        <v>50789.072</v>
      </c>
    </row>
    <row r="898">
      <c r="A898" s="229">
        <v>42503.0</v>
      </c>
      <c r="B898" s="221">
        <v>0.008621232955461855</v>
      </c>
      <c r="C898" s="221">
        <v>0.005685714285714276</v>
      </c>
      <c r="D898" s="221">
        <v>0.014306947241176173</v>
      </c>
      <c r="E898" s="233">
        <v>-0.00599941709951891</v>
      </c>
      <c r="F898" s="232">
        <v>-18.93394078440315</v>
      </c>
      <c r="G898" s="171">
        <v>0.0</v>
      </c>
      <c r="H898" s="230">
        <v>3160.6541296188625</v>
      </c>
      <c r="I898" s="232">
        <v>0.0</v>
      </c>
      <c r="J898" s="170">
        <v>50842.28599999999</v>
      </c>
    </row>
    <row r="899">
      <c r="A899" s="229">
        <v>42502.0</v>
      </c>
      <c r="B899" s="221">
        <v>0.008721224628312126</v>
      </c>
      <c r="C899" s="221">
        <v>0.005671428571428562</v>
      </c>
      <c r="D899" s="221">
        <v>0.01439265319974073</v>
      </c>
      <c r="E899" s="233">
        <v>-0.00599941709951891</v>
      </c>
      <c r="F899" s="232">
        <v>-18.93394078440315</v>
      </c>
      <c r="G899" s="171">
        <v>0.0</v>
      </c>
      <c r="H899" s="230">
        <v>3179.5880704032656</v>
      </c>
      <c r="I899" s="232">
        <v>0.0</v>
      </c>
      <c r="J899" s="170">
        <v>50304.136</v>
      </c>
    </row>
    <row r="900">
      <c r="A900" s="229">
        <v>42501.0</v>
      </c>
      <c r="B900" s="221">
        <v>0.008821216301162397</v>
      </c>
      <c r="C900" s="221">
        <v>0.005657142857142848</v>
      </c>
      <c r="D900" s="221">
        <v>0.014478359158305285</v>
      </c>
      <c r="E900" s="233">
        <v>-0.00599941709951891</v>
      </c>
      <c r="F900" s="232">
        <v>-18.93394078440315</v>
      </c>
      <c r="G900" s="171">
        <v>0.0</v>
      </c>
      <c r="H900" s="230">
        <v>3198.522011187669</v>
      </c>
      <c r="I900" s="232">
        <v>0.0</v>
      </c>
      <c r="J900" s="170">
        <v>50383.818</v>
      </c>
    </row>
    <row r="901">
      <c r="A901" s="229">
        <v>42500.0</v>
      </c>
      <c r="B901" s="221">
        <v>0.008921207974012668</v>
      </c>
      <c r="C901" s="221">
        <v>0.0056428571428571335</v>
      </c>
      <c r="D901" s="221">
        <v>0.014564065116869841</v>
      </c>
      <c r="E901" s="233">
        <v>-0.00599941709951891</v>
      </c>
      <c r="F901" s="232">
        <v>-18.93394078440315</v>
      </c>
      <c r="G901" s="171">
        <v>0.0</v>
      </c>
      <c r="H901" s="230">
        <v>3217.455951972072</v>
      </c>
      <c r="I901" s="232">
        <v>0.0</v>
      </c>
      <c r="J901" s="170">
        <v>50213.541999999994</v>
      </c>
    </row>
    <row r="902">
      <c r="A902" s="229">
        <v>42499.0</v>
      </c>
      <c r="B902" s="221">
        <v>0.009021199646862939</v>
      </c>
      <c r="C902" s="221">
        <v>0.005628571428571419</v>
      </c>
      <c r="D902" s="221">
        <v>0.014649771075434397</v>
      </c>
      <c r="E902" s="233">
        <v>-0.00599941709951891</v>
      </c>
      <c r="F902" s="232">
        <v>-18.93394078440315</v>
      </c>
      <c r="G902" s="171">
        <v>0.0</v>
      </c>
      <c r="H902" s="230">
        <v>3236.389892756475</v>
      </c>
      <c r="I902" s="232">
        <v>0.0</v>
      </c>
      <c r="J902" s="170">
        <v>50237.89600000001</v>
      </c>
    </row>
    <row r="903">
      <c r="A903" s="229">
        <v>42496.0</v>
      </c>
      <c r="B903" s="221">
        <v>0.00912119131971321</v>
      </c>
      <c r="C903" s="221">
        <v>0.005614285714285705</v>
      </c>
      <c r="D903" s="221">
        <v>0.014735477033998953</v>
      </c>
      <c r="E903" s="233">
        <v>-0.00599941709951891</v>
      </c>
      <c r="F903" s="232">
        <v>-18.93394078440315</v>
      </c>
      <c r="G903" s="171">
        <v>0.0</v>
      </c>
      <c r="H903" s="230">
        <v>3255.3238335408782</v>
      </c>
      <c r="I903" s="232">
        <v>0.0</v>
      </c>
      <c r="J903" s="170">
        <v>50837.758</v>
      </c>
    </row>
    <row r="904">
      <c r="A904" s="229">
        <v>42495.0</v>
      </c>
      <c r="B904" s="221">
        <v>0.00922118299256348</v>
      </c>
      <c r="C904" s="221">
        <v>0.005599999999999991</v>
      </c>
      <c r="D904" s="221">
        <v>0.01482118299256351</v>
      </c>
      <c r="E904" s="233">
        <v>-0.00599941709951891</v>
      </c>
      <c r="F904" s="232">
        <v>-18.93394078440315</v>
      </c>
      <c r="G904" s="171">
        <v>0.0</v>
      </c>
      <c r="H904" s="230">
        <v>3274.2577743252814</v>
      </c>
      <c r="I904" s="232">
        <v>0.0</v>
      </c>
      <c r="J904" s="170">
        <v>50492.12</v>
      </c>
    </row>
    <row r="905">
      <c r="A905" s="229">
        <v>42494.0</v>
      </c>
      <c r="B905" s="221">
        <v>0.009321174665413752</v>
      </c>
      <c r="C905" s="221">
        <v>0.005585714285714277</v>
      </c>
      <c r="D905" s="221">
        <v>0.014906888951128065</v>
      </c>
      <c r="E905" s="233">
        <v>-0.00599941709951891</v>
      </c>
      <c r="F905" s="232">
        <v>-18.93394078440315</v>
      </c>
      <c r="G905" s="171">
        <v>0.0</v>
      </c>
      <c r="H905" s="230">
        <v>3293.1917151096845</v>
      </c>
      <c r="I905" s="232">
        <v>0.0</v>
      </c>
      <c r="J905" s="170">
        <v>50162.060000000005</v>
      </c>
    </row>
    <row r="906">
      <c r="A906" s="229">
        <v>42493.0</v>
      </c>
      <c r="B906" s="221">
        <v>0.009421166338264023</v>
      </c>
      <c r="C906" s="221">
        <v>0.005571428571428563</v>
      </c>
      <c r="D906" s="221">
        <v>0.014992594909692621</v>
      </c>
      <c r="E906" s="233">
        <v>-0.00599941709951891</v>
      </c>
      <c r="F906" s="232">
        <v>-18.93394078440315</v>
      </c>
      <c r="G906" s="171">
        <v>0.0</v>
      </c>
      <c r="H906" s="230">
        <v>3312.1256558940877</v>
      </c>
      <c r="I906" s="232">
        <v>0.0</v>
      </c>
      <c r="J906" s="170">
        <v>50285.693999999996</v>
      </c>
    </row>
    <row r="907">
      <c r="A907" s="229">
        <v>42492.0</v>
      </c>
      <c r="B907" s="221">
        <v>0.009521158011114294</v>
      </c>
      <c r="C907" s="221">
        <v>0.005557142857142849</v>
      </c>
      <c r="D907" s="221">
        <v>0.015078300868257177</v>
      </c>
      <c r="E907" s="233">
        <v>-0.00599941709951891</v>
      </c>
      <c r="F907" s="232">
        <v>-18.93394078440315</v>
      </c>
      <c r="G907" s="171">
        <v>0.0</v>
      </c>
      <c r="H907" s="230">
        <v>3331.059596678491</v>
      </c>
      <c r="I907" s="232">
        <v>0.0</v>
      </c>
      <c r="J907" s="170">
        <v>50527.509999999995</v>
      </c>
    </row>
    <row r="908">
      <c r="A908" s="229">
        <v>42489.0</v>
      </c>
      <c r="B908" s="221">
        <v>0.009621149683964565</v>
      </c>
      <c r="C908" s="221">
        <v>0.005542857142857135</v>
      </c>
      <c r="D908" s="221">
        <v>0.015164006826821733</v>
      </c>
      <c r="E908" s="233">
        <v>-0.00599941709951891</v>
      </c>
      <c r="F908" s="232">
        <v>-18.93394078440315</v>
      </c>
      <c r="G908" s="171">
        <v>0.0</v>
      </c>
      <c r="H908" s="230">
        <v>3349.993537462894</v>
      </c>
      <c r="I908" s="232">
        <v>0.0</v>
      </c>
      <c r="J908" s="170">
        <v>50708.252</v>
      </c>
    </row>
    <row r="909">
      <c r="A909" s="229">
        <v>42488.0</v>
      </c>
      <c r="B909" s="221">
        <v>0.009721141356814835</v>
      </c>
      <c r="C909" s="221">
        <v>0.005528571428571421</v>
      </c>
      <c r="D909" s="221">
        <v>0.01524971278538629</v>
      </c>
      <c r="E909" s="233">
        <v>-0.00599941709951891</v>
      </c>
      <c r="F909" s="232">
        <v>-18.93394078440315</v>
      </c>
      <c r="G909" s="171">
        <v>0.0</v>
      </c>
      <c r="H909" s="230">
        <v>3368.927478247297</v>
      </c>
      <c r="I909" s="232">
        <v>0.0</v>
      </c>
      <c r="J909" s="170">
        <v>50588.401999999995</v>
      </c>
    </row>
    <row r="910">
      <c r="A910" s="229">
        <v>42487.0</v>
      </c>
      <c r="B910" s="221">
        <v>0.009821133029665106</v>
      </c>
      <c r="C910" s="221">
        <v>0.005514285714285707</v>
      </c>
      <c r="D910" s="221">
        <v>0.015335418743950845</v>
      </c>
      <c r="E910" s="233">
        <v>-0.00599941709951891</v>
      </c>
      <c r="F910" s="232">
        <v>-18.93394078440315</v>
      </c>
      <c r="G910" s="171">
        <v>0.0</v>
      </c>
      <c r="H910" s="230">
        <v>3387.8614190317003</v>
      </c>
      <c r="I910" s="232">
        <v>0.0</v>
      </c>
      <c r="J910" s="170">
        <v>50170.772</v>
      </c>
    </row>
    <row r="911">
      <c r="A911" s="229">
        <v>42486.0</v>
      </c>
      <c r="B911" s="221">
        <v>0.009921124702515377</v>
      </c>
      <c r="C911" s="221">
        <v>0.005499999999999993</v>
      </c>
      <c r="D911" s="221">
        <v>0.015421124702515401</v>
      </c>
      <c r="E911" s="233">
        <v>-0.00599941709951891</v>
      </c>
      <c r="F911" s="232">
        <v>-18.93394078440315</v>
      </c>
      <c r="G911" s="171">
        <v>0.0</v>
      </c>
      <c r="H911" s="230">
        <v>3406.7953598161034</v>
      </c>
      <c r="I911" s="232">
        <v>0.0</v>
      </c>
      <c r="J911" s="170">
        <v>49981.100000000006</v>
      </c>
    </row>
    <row r="912">
      <c r="A912" s="229">
        <v>42485.0</v>
      </c>
      <c r="B912" s="221">
        <v>0.010021116375365648</v>
      </c>
      <c r="C912" s="221">
        <v>0.005485714285714279</v>
      </c>
      <c r="D912" s="221">
        <v>0.015506830661079957</v>
      </c>
      <c r="E912" s="233">
        <v>-0.00599941709951891</v>
      </c>
      <c r="F912" s="232">
        <v>-18.93394078440315</v>
      </c>
      <c r="G912" s="171">
        <v>0.0</v>
      </c>
      <c r="H912" s="230">
        <v>3425.7293006005066</v>
      </c>
      <c r="I912" s="232">
        <v>0.0</v>
      </c>
      <c r="J912" s="170">
        <v>50139.824</v>
      </c>
    </row>
    <row r="913">
      <c r="A913" s="229">
        <v>42482.0</v>
      </c>
      <c r="B913" s="221">
        <v>0.01012110804821592</v>
      </c>
      <c r="C913" s="221">
        <v>0.005471428571428565</v>
      </c>
      <c r="D913" s="221">
        <v>0.015592536619644513</v>
      </c>
      <c r="E913" s="233">
        <v>-0.00599941709951891</v>
      </c>
      <c r="F913" s="232">
        <v>-18.93394078440315</v>
      </c>
      <c r="G913" s="171">
        <v>0.0</v>
      </c>
      <c r="H913" s="230">
        <v>3444.6632413849097</v>
      </c>
      <c r="I913" s="232">
        <v>0.0</v>
      </c>
      <c r="J913" s="170">
        <v>50271.19</v>
      </c>
    </row>
    <row r="914">
      <c r="A914" s="229">
        <v>42481.0</v>
      </c>
      <c r="B914" s="221">
        <v>0.01022109972106619</v>
      </c>
      <c r="C914" s="221">
        <v>0.0054571428571428505</v>
      </c>
      <c r="D914" s="221">
        <v>0.01567824257820907</v>
      </c>
      <c r="E914" s="233">
        <v>-0.00599941709951891</v>
      </c>
      <c r="F914" s="232">
        <v>-18.93394078440315</v>
      </c>
      <c r="G914" s="171">
        <v>0.0</v>
      </c>
      <c r="H914" s="230">
        <v>3463.597182169313</v>
      </c>
      <c r="I914" s="232">
        <v>0.0</v>
      </c>
      <c r="J914" s="170">
        <v>50354.096000000005</v>
      </c>
    </row>
    <row r="915">
      <c r="A915" s="229">
        <v>42480.0</v>
      </c>
      <c r="B915" s="221">
        <v>0.010321091393916461</v>
      </c>
      <c r="C915" s="221">
        <v>0.0054428571428571364</v>
      </c>
      <c r="D915" s="221">
        <v>0.015763948536773625</v>
      </c>
      <c r="E915" s="233">
        <v>-0.00599941709951891</v>
      </c>
      <c r="F915" s="232">
        <v>-18.93394078440315</v>
      </c>
      <c r="G915" s="171">
        <v>0.0</v>
      </c>
      <c r="H915" s="230">
        <v>3482.531122953716</v>
      </c>
      <c r="I915" s="232">
        <v>0.0</v>
      </c>
      <c r="J915" s="170">
        <v>50368.78</v>
      </c>
    </row>
    <row r="916">
      <c r="A916" s="229">
        <v>42479.0</v>
      </c>
      <c r="B916" s="221">
        <v>0.010421083066766732</v>
      </c>
      <c r="C916" s="221">
        <v>0.005428571428571422</v>
      </c>
      <c r="D916" s="221">
        <v>0.01584965449533818</v>
      </c>
      <c r="E916" s="233">
        <v>-0.00599941709951891</v>
      </c>
      <c r="F916" s="232">
        <v>-18.93394078440315</v>
      </c>
      <c r="G916" s="171">
        <v>0.0</v>
      </c>
      <c r="H916" s="230">
        <v>3501.465063738119</v>
      </c>
      <c r="I916" s="232">
        <v>0.0</v>
      </c>
      <c r="J916" s="170">
        <v>50163.402</v>
      </c>
    </row>
    <row r="917">
      <c r="A917" s="229">
        <v>42478.0</v>
      </c>
      <c r="B917" s="221">
        <v>0.010521074739617003</v>
      </c>
      <c r="C917" s="221">
        <v>0.005414285714285708</v>
      </c>
      <c r="D917" s="221">
        <v>0.015935360453902737</v>
      </c>
      <c r="E917" s="233">
        <v>-0.00599941709951891</v>
      </c>
      <c r="F917" s="232">
        <v>-18.93394078440315</v>
      </c>
      <c r="G917" s="171">
        <v>0.0</v>
      </c>
      <c r="H917" s="230">
        <v>3520.3990045225223</v>
      </c>
      <c r="I917" s="232">
        <v>0.0</v>
      </c>
      <c r="J917" s="170">
        <v>49875.350000000006</v>
      </c>
    </row>
    <row r="918">
      <c r="A918" s="229">
        <v>42475.0</v>
      </c>
      <c r="B918" s="221">
        <v>0.010621066412467274</v>
      </c>
      <c r="C918" s="221">
        <v>0.005399999999999994</v>
      </c>
      <c r="D918" s="221">
        <v>0.016021066412467293</v>
      </c>
      <c r="E918" s="233">
        <v>-0.00599941709951891</v>
      </c>
      <c r="F918" s="232">
        <v>-18.93394078440315</v>
      </c>
      <c r="G918" s="171">
        <v>0.0</v>
      </c>
      <c r="H918" s="230">
        <v>3539.3329453069255</v>
      </c>
      <c r="I918" s="232">
        <v>0.0</v>
      </c>
      <c r="J918" s="170">
        <v>47097.515</v>
      </c>
    </row>
    <row r="919">
      <c r="A919" s="229">
        <v>42474.0</v>
      </c>
      <c r="B919" s="221">
        <v>0.010721058085317545</v>
      </c>
      <c r="C919" s="221">
        <v>0.00538571428571428</v>
      </c>
      <c r="D919" s="221">
        <v>0.01610677237103185</v>
      </c>
      <c r="E919" s="233">
        <v>-0.00599941709951891</v>
      </c>
      <c r="F919" s="232">
        <v>-18.93394078440315</v>
      </c>
      <c r="G919" s="171">
        <v>0.0</v>
      </c>
      <c r="H919" s="230">
        <v>3558.2668860913286</v>
      </c>
      <c r="I919" s="232">
        <v>0.0</v>
      </c>
      <c r="J919" s="170">
        <v>47201.04</v>
      </c>
    </row>
    <row r="920">
      <c r="A920" s="229">
        <v>42473.0</v>
      </c>
      <c r="B920" s="221">
        <v>0.010821049758167816</v>
      </c>
      <c r="C920" s="221">
        <v>0.005371428571428566</v>
      </c>
      <c r="D920" s="221">
        <v>0.016192478329596405</v>
      </c>
      <c r="E920" s="233">
        <v>-0.00599941709951891</v>
      </c>
      <c r="F920" s="232">
        <v>-18.93394078440315</v>
      </c>
      <c r="G920" s="171">
        <v>0.0</v>
      </c>
      <c r="H920" s="230">
        <v>3577.2008268757318</v>
      </c>
      <c r="I920" s="232">
        <v>0.0</v>
      </c>
      <c r="J920" s="170">
        <v>47472.81</v>
      </c>
    </row>
    <row r="921">
      <c r="A921" s="229">
        <v>42472.0</v>
      </c>
      <c r="B921" s="221">
        <v>0.010921041431018087</v>
      </c>
      <c r="C921" s="221">
        <v>0.005357142857142852</v>
      </c>
      <c r="D921" s="221">
        <v>0.01627818428816096</v>
      </c>
      <c r="E921" s="233">
        <v>-0.00599941709951891</v>
      </c>
      <c r="F921" s="232">
        <v>-18.93394078440315</v>
      </c>
      <c r="G921" s="171">
        <v>0.0</v>
      </c>
      <c r="H921" s="230">
        <v>3596.134767660135</v>
      </c>
      <c r="I921" s="232">
        <v>0.0</v>
      </c>
      <c r="J921" s="170">
        <v>47236.41499999999</v>
      </c>
    </row>
    <row r="922">
      <c r="A922" s="229">
        <v>42471.0</v>
      </c>
      <c r="B922" s="221">
        <v>0.011021033103868358</v>
      </c>
      <c r="C922" s="221">
        <v>0.005342857142857138</v>
      </c>
      <c r="D922" s="221">
        <v>0.016363890246725517</v>
      </c>
      <c r="E922" s="233">
        <v>-0.00599941709951891</v>
      </c>
      <c r="F922" s="232">
        <v>-18.93394078440315</v>
      </c>
      <c r="G922" s="171">
        <v>0.0</v>
      </c>
      <c r="H922" s="230">
        <v>3615.068708444538</v>
      </c>
      <c r="I922" s="232">
        <v>0.0</v>
      </c>
      <c r="J922" s="170">
        <v>47168.42</v>
      </c>
    </row>
    <row r="923">
      <c r="A923" s="229">
        <v>42468.0</v>
      </c>
      <c r="B923" s="221">
        <v>0.011121024776718629</v>
      </c>
      <c r="C923" s="221">
        <v>0.005328571428571424</v>
      </c>
      <c r="D923" s="221">
        <v>0.016449596205290073</v>
      </c>
      <c r="E923" s="233">
        <v>-0.00599941709951891</v>
      </c>
      <c r="F923" s="232">
        <v>-18.93394078440315</v>
      </c>
      <c r="G923" s="171">
        <v>0.0</v>
      </c>
      <c r="H923" s="230">
        <v>3634.002649228941</v>
      </c>
      <c r="I923" s="232">
        <v>0.0</v>
      </c>
      <c r="J923" s="170">
        <v>46772.98</v>
      </c>
    </row>
    <row r="924">
      <c r="A924" s="229">
        <v>42467.0</v>
      </c>
      <c r="B924" s="221">
        <v>0.0112210164495689</v>
      </c>
      <c r="C924" s="221">
        <v>0.00531428571428571</v>
      </c>
      <c r="D924" s="221">
        <v>0.01653530216385463</v>
      </c>
      <c r="E924" s="233">
        <v>-0.00599941709951891</v>
      </c>
      <c r="F924" s="232">
        <v>-18.93394078440315</v>
      </c>
      <c r="G924" s="171">
        <v>0.0</v>
      </c>
      <c r="H924" s="230">
        <v>3652.9365900133444</v>
      </c>
      <c r="I924" s="232">
        <v>0.0</v>
      </c>
      <c r="J924" s="170">
        <v>46808.37500000001</v>
      </c>
    </row>
    <row r="925">
      <c r="A925" s="229">
        <v>42466.0</v>
      </c>
      <c r="B925" s="221">
        <v>0.01132100812241917</v>
      </c>
      <c r="C925" s="221">
        <v>0.005299999999999996</v>
      </c>
      <c r="D925" s="221">
        <v>0.016621008122419186</v>
      </c>
      <c r="E925" s="233">
        <v>-0.00599941709951891</v>
      </c>
      <c r="F925" s="232">
        <v>-18.93394078440315</v>
      </c>
      <c r="G925" s="171">
        <v>0.0</v>
      </c>
      <c r="H925" s="230">
        <v>3671.8705307977475</v>
      </c>
      <c r="I925" s="232">
        <v>0.0</v>
      </c>
      <c r="J925" s="170">
        <v>46334.465000000004</v>
      </c>
    </row>
    <row r="926">
      <c r="A926" s="229">
        <v>42465.0</v>
      </c>
      <c r="B926" s="221">
        <v>0.011420999795269442</v>
      </c>
      <c r="C926" s="221">
        <v>0.005285714285714282</v>
      </c>
      <c r="D926" s="221">
        <v>0.01670671408098374</v>
      </c>
      <c r="E926" s="233">
        <v>-0.00599941709951891</v>
      </c>
      <c r="F926" s="232">
        <v>-18.93394078440315</v>
      </c>
      <c r="G926" s="171">
        <v>0.0</v>
      </c>
      <c r="H926" s="230">
        <v>3690.8044715821507</v>
      </c>
      <c r="I926" s="232">
        <v>0.0</v>
      </c>
      <c r="J926" s="170">
        <v>46512.85</v>
      </c>
    </row>
    <row r="927">
      <c r="A927" s="229">
        <v>42464.0</v>
      </c>
      <c r="B927" s="221">
        <v>0.011520991468119713</v>
      </c>
      <c r="C927" s="221">
        <v>0.0052714285714285675</v>
      </c>
      <c r="D927" s="221">
        <v>0.016792420039548298</v>
      </c>
      <c r="E927" s="233">
        <v>-0.00599941709951891</v>
      </c>
      <c r="F927" s="232">
        <v>-18.93394078440315</v>
      </c>
      <c r="G927" s="171">
        <v>0.0</v>
      </c>
      <c r="H927" s="230">
        <v>3709.738412366554</v>
      </c>
      <c r="I927" s="232">
        <v>0.0</v>
      </c>
      <c r="J927" s="170">
        <v>46284.53999999999</v>
      </c>
    </row>
    <row r="928">
      <c r="A928" s="229">
        <v>42461.0</v>
      </c>
      <c r="B928" s="221">
        <v>0.011620983140969984</v>
      </c>
      <c r="C928" s="221">
        <v>0.0052571428571428535</v>
      </c>
      <c r="D928" s="221">
        <v>0.016878125998112854</v>
      </c>
      <c r="E928" s="233">
        <v>-0.00599941709951891</v>
      </c>
      <c r="F928" s="232">
        <v>-18.93394078440315</v>
      </c>
      <c r="G928" s="171">
        <v>0.0</v>
      </c>
      <c r="H928" s="230">
        <v>3728.672353150957</v>
      </c>
      <c r="I928" s="232">
        <v>0.0</v>
      </c>
      <c r="J928" s="170">
        <v>46174.409999999996</v>
      </c>
    </row>
    <row r="929">
      <c r="A929" s="229">
        <v>42460.0</v>
      </c>
      <c r="B929" s="221">
        <v>0.011720974813820255</v>
      </c>
      <c r="C929" s="221">
        <v>0.005242857142857139</v>
      </c>
      <c r="D929" s="221">
        <v>0.01696383195667741</v>
      </c>
      <c r="E929" s="233">
        <v>-0.00599941709951891</v>
      </c>
      <c r="F929" s="232">
        <v>-18.93394078440315</v>
      </c>
      <c r="G929" s="171">
        <v>0.0</v>
      </c>
      <c r="H929" s="230">
        <v>3747.60629393536</v>
      </c>
      <c r="I929" s="232">
        <v>0.0</v>
      </c>
      <c r="J929" s="170">
        <v>46687.665</v>
      </c>
    </row>
    <row r="930">
      <c r="A930" s="229">
        <v>42459.0</v>
      </c>
      <c r="B930" s="221">
        <v>0.011820966486670526</v>
      </c>
      <c r="C930" s="221">
        <v>0.005228571428571425</v>
      </c>
      <c r="D930" s="221">
        <v>0.017049537915241966</v>
      </c>
      <c r="E930" s="233">
        <v>-0.00599941709951891</v>
      </c>
      <c r="F930" s="232">
        <v>-18.93394078440315</v>
      </c>
      <c r="G930" s="171">
        <v>0.0</v>
      </c>
      <c r="H930" s="230">
        <v>3766.5402347197632</v>
      </c>
      <c r="I930" s="232">
        <v>0.0</v>
      </c>
      <c r="J930" s="170">
        <v>46630.82</v>
      </c>
    </row>
    <row r="931">
      <c r="A931" s="229">
        <v>42458.0</v>
      </c>
      <c r="B931" s="221">
        <v>0.011920958159520796</v>
      </c>
      <c r="C931" s="221">
        <v>0.005214285714285711</v>
      </c>
      <c r="D931" s="221">
        <v>0.01713524387380652</v>
      </c>
      <c r="E931" s="233">
        <v>-0.00599941709951891</v>
      </c>
      <c r="F931" s="232">
        <v>-18.93394078440315</v>
      </c>
      <c r="G931" s="171">
        <v>0.0</v>
      </c>
      <c r="H931" s="230">
        <v>3785.4741755041664</v>
      </c>
      <c r="I931" s="232">
        <v>0.0</v>
      </c>
      <c r="J931" s="170">
        <v>47150.885</v>
      </c>
    </row>
    <row r="932">
      <c r="A932" s="229">
        <v>42453.0</v>
      </c>
      <c r="B932" s="221">
        <v>0.012020949832371067</v>
      </c>
      <c r="C932" s="221">
        <v>0.005199999999999997</v>
      </c>
      <c r="D932" s="221">
        <v>0.017220949832371078</v>
      </c>
      <c r="E932" s="233">
        <v>-0.00599941709951891</v>
      </c>
      <c r="F932" s="232">
        <v>-18.93394078440315</v>
      </c>
      <c r="G932" s="171">
        <v>0.0</v>
      </c>
      <c r="H932" s="230">
        <v>3804.4081162885695</v>
      </c>
      <c r="I932" s="232">
        <v>0.0</v>
      </c>
      <c r="J932" s="170">
        <v>47042.47</v>
      </c>
    </row>
    <row r="933">
      <c r="A933" s="229">
        <v>42452.0</v>
      </c>
      <c r="B933" s="221">
        <v>0.012120941505221338</v>
      </c>
      <c r="C933" s="221">
        <v>0.005185714285714283</v>
      </c>
      <c r="D933" s="221">
        <v>0.017306655790935634</v>
      </c>
      <c r="E933" s="233">
        <v>-0.00599941709951891</v>
      </c>
      <c r="F933" s="232">
        <v>-18.93394078440315</v>
      </c>
      <c r="G933" s="171">
        <v>0.0</v>
      </c>
      <c r="H933" s="230">
        <v>3823.3420570729727</v>
      </c>
      <c r="I933" s="232">
        <v>0.0</v>
      </c>
      <c r="J933" s="170">
        <v>47104.045</v>
      </c>
    </row>
    <row r="934">
      <c r="A934" s="229">
        <v>42451.0</v>
      </c>
      <c r="B934" s="221">
        <v>0.01222093317807161</v>
      </c>
      <c r="C934" s="221">
        <v>0.005171428571428569</v>
      </c>
      <c r="D934" s="221">
        <v>0.01739236174950019</v>
      </c>
      <c r="E934" s="233">
        <v>-0.00599941709951891</v>
      </c>
      <c r="F934" s="232">
        <v>-18.93394078440315</v>
      </c>
      <c r="G934" s="171">
        <v>0.0</v>
      </c>
      <c r="H934" s="230">
        <v>3842.275997857376</v>
      </c>
      <c r="I934" s="232">
        <v>0.0</v>
      </c>
      <c r="J934" s="170">
        <v>47728.255</v>
      </c>
    </row>
    <row r="935">
      <c r="A935" s="229">
        <v>42450.0</v>
      </c>
      <c r="B935" s="221">
        <v>0.01232092485092188</v>
      </c>
      <c r="C935" s="221">
        <v>0.005157142857142855</v>
      </c>
      <c r="D935" s="221">
        <v>0.017478067708064746</v>
      </c>
      <c r="E935" s="233">
        <v>-0.00599941709951891</v>
      </c>
      <c r="F935" s="232">
        <v>-18.93394078440315</v>
      </c>
      <c r="G935" s="171">
        <v>0.0</v>
      </c>
      <c r="H935" s="230">
        <v>3861.209938641779</v>
      </c>
      <c r="I935" s="232">
        <v>0.0</v>
      </c>
      <c r="J935" s="170">
        <v>47418.225</v>
      </c>
    </row>
    <row r="936">
      <c r="A936" s="229">
        <v>42447.0</v>
      </c>
      <c r="B936" s="221">
        <v>0.012420916523772151</v>
      </c>
      <c r="C936" s="221">
        <v>0.005142857142857141</v>
      </c>
      <c r="D936" s="221">
        <v>0.0175637736666293</v>
      </c>
      <c r="E936" s="233">
        <v>-0.00599941709951891</v>
      </c>
      <c r="F936" s="232">
        <v>-18.93394078440315</v>
      </c>
      <c r="G936" s="171">
        <v>0.0</v>
      </c>
      <c r="H936" s="230">
        <v>3880.143879426182</v>
      </c>
      <c r="I936" s="232">
        <v>0.0</v>
      </c>
      <c r="J936" s="170">
        <v>47487.495</v>
      </c>
    </row>
    <row r="937">
      <c r="A937" s="229">
        <v>42446.0</v>
      </c>
      <c r="B937" s="221">
        <v>0.012520908196622422</v>
      </c>
      <c r="C937" s="221">
        <v>0.005128571428571427</v>
      </c>
      <c r="D937" s="221">
        <v>0.017649479625193858</v>
      </c>
      <c r="E937" s="233">
        <v>-0.00599941709951891</v>
      </c>
      <c r="F937" s="232">
        <v>-18.93394078440315</v>
      </c>
      <c r="G937" s="171">
        <v>0.0</v>
      </c>
      <c r="H937" s="230">
        <v>3899.0778202105853</v>
      </c>
      <c r="I937" s="232">
        <v>0.0</v>
      </c>
      <c r="J937" s="170">
        <v>47543.46000000001</v>
      </c>
    </row>
    <row r="938">
      <c r="A938" s="229">
        <v>42445.0</v>
      </c>
      <c r="B938" s="221">
        <v>0.012620899869472693</v>
      </c>
      <c r="C938" s="221">
        <v>0.005114285714285713</v>
      </c>
      <c r="D938" s="221">
        <v>0.017735185583758414</v>
      </c>
      <c r="E938" s="233">
        <v>-0.00599941709951891</v>
      </c>
      <c r="F938" s="232">
        <v>-18.93394078440315</v>
      </c>
      <c r="G938" s="171">
        <v>0.0</v>
      </c>
      <c r="H938" s="230">
        <v>3918.0117609949884</v>
      </c>
      <c r="I938" s="232">
        <v>0.0</v>
      </c>
      <c r="J938" s="170">
        <v>47556.435</v>
      </c>
    </row>
    <row r="939">
      <c r="A939" s="229">
        <v>42444.0</v>
      </c>
      <c r="B939" s="221">
        <v>0.012720891542322964</v>
      </c>
      <c r="C939" s="221">
        <v>0.005099999999999999</v>
      </c>
      <c r="D939" s="221">
        <v>0.01782089154232297</v>
      </c>
      <c r="E939" s="233">
        <v>-0.00599941709951891</v>
      </c>
      <c r="F939" s="232">
        <v>-18.93394078440315</v>
      </c>
      <c r="G939" s="171">
        <v>0.0</v>
      </c>
      <c r="H939" s="230">
        <v>3936.9457017793916</v>
      </c>
      <c r="I939" s="232">
        <v>0.0</v>
      </c>
      <c r="J939" s="170">
        <v>47520.494999999995</v>
      </c>
    </row>
    <row r="940">
      <c r="A940" s="229">
        <v>42443.0</v>
      </c>
      <c r="B940" s="221">
        <v>0.012820883215173235</v>
      </c>
      <c r="C940" s="221">
        <v>0.0050857142857142846</v>
      </c>
      <c r="D940" s="221">
        <v>0.017906597500887526</v>
      </c>
      <c r="E940" s="233">
        <v>-0.00599941709951891</v>
      </c>
      <c r="F940" s="232">
        <v>-18.93394078440315</v>
      </c>
      <c r="G940" s="171">
        <v>0.0</v>
      </c>
      <c r="H940" s="230">
        <v>3955.8796425637947</v>
      </c>
      <c r="I940" s="232">
        <v>0.0</v>
      </c>
      <c r="J940" s="170">
        <v>47858.375</v>
      </c>
    </row>
    <row r="941">
      <c r="A941" s="229">
        <v>42440.0</v>
      </c>
      <c r="B941" s="221">
        <v>0.012920874888023506</v>
      </c>
      <c r="C941" s="221">
        <v>0.0050714285714285705</v>
      </c>
      <c r="D941" s="221">
        <v>0.01799230345945208</v>
      </c>
      <c r="E941" s="233">
        <v>-0.00599941709951891</v>
      </c>
      <c r="F941" s="232">
        <v>-18.93394078440315</v>
      </c>
      <c r="G941" s="171">
        <v>0.0</v>
      </c>
      <c r="H941" s="230">
        <v>3974.813583348198</v>
      </c>
      <c r="I941" s="232">
        <v>0.0</v>
      </c>
      <c r="J941" s="170">
        <v>48010.54</v>
      </c>
    </row>
    <row r="942">
      <c r="A942" s="229">
        <v>42439.0</v>
      </c>
      <c r="B942" s="221">
        <v>0.013020866560873777</v>
      </c>
      <c r="C942" s="221">
        <v>0.005057142857142856</v>
      </c>
      <c r="D942" s="221">
        <v>0.018078009418016638</v>
      </c>
      <c r="E942" s="233">
        <v>-0.00599941709951891</v>
      </c>
      <c r="F942" s="232">
        <v>-18.93394078440315</v>
      </c>
      <c r="G942" s="171">
        <v>0.0</v>
      </c>
      <c r="H942" s="230">
        <v>3993.747524132601</v>
      </c>
      <c r="I942" s="232">
        <v>0.0</v>
      </c>
      <c r="J942" s="170">
        <v>48005.39000000001</v>
      </c>
    </row>
    <row r="943">
      <c r="A943" s="229">
        <v>42438.0</v>
      </c>
      <c r="B943" s="221">
        <v>0.013120858233724048</v>
      </c>
      <c r="C943" s="221">
        <v>0.005042857142857142</v>
      </c>
      <c r="D943" s="221">
        <v>0.018163715376581194</v>
      </c>
      <c r="E943" s="233">
        <v>-0.00599941709951891</v>
      </c>
      <c r="F943" s="232">
        <v>-18.93394078440315</v>
      </c>
      <c r="G943" s="171">
        <v>0.0</v>
      </c>
      <c r="H943" s="230">
        <v>4012.681464917004</v>
      </c>
      <c r="I943" s="232">
        <v>0.0</v>
      </c>
      <c r="J943" s="170">
        <v>48512.09</v>
      </c>
    </row>
    <row r="944">
      <c r="A944" s="229">
        <v>42437.0</v>
      </c>
      <c r="B944" s="221">
        <v>0.013220849906574319</v>
      </c>
      <c r="C944" s="221">
        <v>0.005028571428571428</v>
      </c>
      <c r="D944" s="221">
        <v>0.01824942133514575</v>
      </c>
      <c r="E944" s="233">
        <v>-0.00599941709951891</v>
      </c>
      <c r="F944" s="232">
        <v>-18.93394078440315</v>
      </c>
      <c r="G944" s="171">
        <v>0.0</v>
      </c>
      <c r="H944" s="230">
        <v>4031.6154057014073</v>
      </c>
      <c r="I944" s="232">
        <v>0.0</v>
      </c>
      <c r="J944" s="170">
        <v>48804.38</v>
      </c>
    </row>
    <row r="945">
      <c r="A945" s="229">
        <v>42436.0</v>
      </c>
      <c r="B945" s="221">
        <v>0.01332084157942459</v>
      </c>
      <c r="C945" s="221">
        <v>0.005014285714285714</v>
      </c>
      <c r="D945" s="221">
        <v>0.018335127293710306</v>
      </c>
      <c r="E945" s="233">
        <v>-0.00599941709951891</v>
      </c>
      <c r="F945" s="232">
        <v>-18.93394078440315</v>
      </c>
      <c r="G945" s="171">
        <v>0.0</v>
      </c>
      <c r="H945" s="230">
        <v>4050.5493464858105</v>
      </c>
      <c r="I945" s="232">
        <v>0.0</v>
      </c>
      <c r="J945" s="170">
        <v>48919.015</v>
      </c>
    </row>
    <row r="946">
      <c r="A946" s="229">
        <v>42433.0</v>
      </c>
      <c r="B946" s="21">
        <v>0.01342083325227486</v>
      </c>
      <c r="C946" s="21">
        <v>0.005</v>
      </c>
      <c r="D946" s="159">
        <v>0.018420833252274862</v>
      </c>
      <c r="E946" s="159">
        <v>0.01698228097820644</v>
      </c>
      <c r="F946" s="232">
        <v>117.24006264076434</v>
      </c>
      <c r="G946" s="171">
        <v>0.0</v>
      </c>
      <c r="H946" s="230">
        <v>4069.4832872702136</v>
      </c>
      <c r="I946" s="232">
        <v>0.0</v>
      </c>
      <c r="J946" s="170">
        <v>48949.725</v>
      </c>
    </row>
    <row r="947">
      <c r="A947" s="229">
        <v>42432.0</v>
      </c>
      <c r="B947" s="221">
        <v>0.012921386971705905</v>
      </c>
      <c r="C947" s="221">
        <v>0.004968750000000001</v>
      </c>
      <c r="D947" s="221">
        <v>0.0178901369717059</v>
      </c>
      <c r="E947" s="233">
        <v>0.01698228097820644</v>
      </c>
      <c r="F947" s="232">
        <v>117.24006264076615</v>
      </c>
      <c r="G947" s="171">
        <v>0.0</v>
      </c>
      <c r="H947" s="230">
        <v>3952.2432246294493</v>
      </c>
      <c r="I947" s="232">
        <v>0.0</v>
      </c>
      <c r="J947" s="170">
        <v>48914.585</v>
      </c>
    </row>
    <row r="948">
      <c r="A948" s="229">
        <v>42431.0</v>
      </c>
      <c r="B948" s="221">
        <v>0.012421940691136954</v>
      </c>
      <c r="C948" s="221">
        <v>0.004937500000000001</v>
      </c>
      <c r="D948" s="221">
        <v>0.01735944069113695</v>
      </c>
      <c r="E948" s="233">
        <v>0.01698228097820644</v>
      </c>
      <c r="F948" s="232">
        <v>117.24006264076615</v>
      </c>
      <c r="G948" s="171">
        <v>0.0</v>
      </c>
      <c r="H948" s="230">
        <v>3835.003161988683</v>
      </c>
      <c r="I948" s="232">
        <v>0.0</v>
      </c>
      <c r="J948" s="170">
        <v>48842.755</v>
      </c>
    </row>
    <row r="949">
      <c r="A949" s="229">
        <v>42430.0</v>
      </c>
      <c r="B949" s="221">
        <v>0.011922494410568004</v>
      </c>
      <c r="C949" s="221">
        <v>0.004906250000000001</v>
      </c>
      <c r="D949" s="221">
        <v>0.016828744410568</v>
      </c>
      <c r="E949" s="233">
        <v>0.01698228097820644</v>
      </c>
      <c r="F949" s="232">
        <v>117.24006264076615</v>
      </c>
      <c r="G949" s="171">
        <v>0.0</v>
      </c>
      <c r="H949" s="230">
        <v>3717.763099347917</v>
      </c>
      <c r="I949" s="232">
        <v>0.0</v>
      </c>
      <c r="J949" s="170">
        <v>48622.0</v>
      </c>
    </row>
    <row r="950">
      <c r="A950" s="229">
        <v>42429.0</v>
      </c>
      <c r="B950" s="221">
        <v>0.011423048129999053</v>
      </c>
      <c r="C950" s="221">
        <v>0.004875000000000001</v>
      </c>
      <c r="D950" s="221">
        <v>0.01629804812999905</v>
      </c>
      <c r="E950" s="233">
        <v>0.01698228097820644</v>
      </c>
      <c r="F950" s="232">
        <v>117.24006264076615</v>
      </c>
      <c r="G950" s="171">
        <v>0.0</v>
      </c>
      <c r="H950" s="230">
        <v>3600.523036707151</v>
      </c>
      <c r="I950" s="232">
        <v>0.0</v>
      </c>
      <c r="J950" s="170">
        <v>48736.424999999996</v>
      </c>
    </row>
    <row r="951">
      <c r="A951" s="229">
        <v>42426.0</v>
      </c>
      <c r="B951" s="221">
        <v>0.010923601849430102</v>
      </c>
      <c r="C951" s="221">
        <v>0.004843750000000001</v>
      </c>
      <c r="D951" s="221">
        <v>0.015767351849430098</v>
      </c>
      <c r="E951" s="233">
        <v>0.01698228097820644</v>
      </c>
      <c r="F951" s="232">
        <v>117.24006264076615</v>
      </c>
      <c r="G951" s="171">
        <v>0.0</v>
      </c>
      <c r="H951" s="230">
        <v>3483.2829740663847</v>
      </c>
      <c r="I951" s="232">
        <v>0.0</v>
      </c>
      <c r="J951" s="170">
        <v>47895.32</v>
      </c>
    </row>
    <row r="952">
      <c r="A952" s="229">
        <v>42425.0</v>
      </c>
      <c r="B952" s="221">
        <v>0.010424155568861152</v>
      </c>
      <c r="C952" s="221">
        <v>0.004812500000000001</v>
      </c>
      <c r="D952" s="221">
        <v>0.015236655568861147</v>
      </c>
      <c r="E952" s="233">
        <v>0.01698228097820644</v>
      </c>
      <c r="F952" s="232">
        <v>117.24006264076615</v>
      </c>
      <c r="G952" s="171">
        <v>0.0</v>
      </c>
      <c r="H952" s="230">
        <v>3366.0429114256185</v>
      </c>
      <c r="I952" s="232">
        <v>0.0</v>
      </c>
      <c r="J952" s="170">
        <v>48017.08499999999</v>
      </c>
    </row>
    <row r="953">
      <c r="A953" s="229">
        <v>42424.0</v>
      </c>
      <c r="B953" s="221">
        <v>0.009924709288292201</v>
      </c>
      <c r="C953" s="221">
        <v>0.004781250000000001</v>
      </c>
      <c r="D953" s="221">
        <v>0.014705959288292197</v>
      </c>
      <c r="E953" s="233">
        <v>0.01698228097820644</v>
      </c>
      <c r="F953" s="232">
        <v>117.24006264076615</v>
      </c>
      <c r="G953" s="171">
        <v>0.0</v>
      </c>
      <c r="H953" s="230">
        <v>3248.8028487848524</v>
      </c>
      <c r="I953" s="232">
        <v>0.0</v>
      </c>
      <c r="J953" s="170">
        <v>48228.1</v>
      </c>
    </row>
    <row r="954">
      <c r="A954" s="229">
        <v>42423.0</v>
      </c>
      <c r="B954" s="221">
        <v>0.00942526300772325</v>
      </c>
      <c r="C954" s="221">
        <v>0.004750000000000001</v>
      </c>
      <c r="D954" s="221">
        <v>0.014175263007723246</v>
      </c>
      <c r="E954" s="233">
        <v>0.01698228097820644</v>
      </c>
      <c r="F954" s="232">
        <v>117.24006264076615</v>
      </c>
      <c r="G954" s="171">
        <v>0.0</v>
      </c>
      <c r="H954" s="230">
        <v>3131.562786144086</v>
      </c>
      <c r="I954" s="232">
        <v>0.0</v>
      </c>
      <c r="J954" s="170">
        <v>47695.84999999999</v>
      </c>
    </row>
    <row r="955">
      <c r="A955" s="229">
        <v>42422.0</v>
      </c>
      <c r="B955" s="221">
        <v>0.0089258167271543</v>
      </c>
      <c r="C955" s="221">
        <v>0.004718750000000001</v>
      </c>
      <c r="D955" s="221">
        <v>0.013644566727154295</v>
      </c>
      <c r="E955" s="233">
        <v>0.01698228097820644</v>
      </c>
      <c r="F955" s="232">
        <v>117.24006264076615</v>
      </c>
      <c r="G955" s="171">
        <v>0.0</v>
      </c>
      <c r="H955" s="230">
        <v>3014.32272350332</v>
      </c>
      <c r="I955" s="232">
        <v>0.0</v>
      </c>
      <c r="J955" s="170">
        <v>47302.71000000001</v>
      </c>
    </row>
    <row r="956">
      <c r="A956" s="229">
        <v>42419.0</v>
      </c>
      <c r="B956" s="221">
        <v>0.00842637044658535</v>
      </c>
      <c r="C956" s="221">
        <v>0.004687500000000001</v>
      </c>
      <c r="D956" s="221">
        <v>0.013113870446585345</v>
      </c>
      <c r="E956" s="233">
        <v>0.01698228097820644</v>
      </c>
      <c r="F956" s="232">
        <v>117.24006264076615</v>
      </c>
      <c r="G956" s="171">
        <v>0.0</v>
      </c>
      <c r="H956" s="230">
        <v>2897.082660862554</v>
      </c>
      <c r="I956" s="232">
        <v>0.0</v>
      </c>
      <c r="J956" s="170">
        <v>47425.43</v>
      </c>
    </row>
    <row r="957">
      <c r="A957" s="229">
        <v>42418.0</v>
      </c>
      <c r="B957" s="221">
        <v>0.007926924166016399</v>
      </c>
      <c r="C957" s="221">
        <v>0.004656250000000001</v>
      </c>
      <c r="D957" s="221">
        <v>0.012583174166016394</v>
      </c>
      <c r="E957" s="233">
        <v>0.01698228097820644</v>
      </c>
      <c r="F957" s="232">
        <v>117.24006264076615</v>
      </c>
      <c r="G957" s="171">
        <v>0.0</v>
      </c>
      <c r="H957" s="230">
        <v>2779.8425982217877</v>
      </c>
      <c r="I957" s="232">
        <v>0.0</v>
      </c>
      <c r="J957" s="170">
        <v>47225.1</v>
      </c>
    </row>
    <row r="958">
      <c r="A958" s="229">
        <v>42417.0</v>
      </c>
      <c r="B958" s="221">
        <v>0.007427477885447447</v>
      </c>
      <c r="C958" s="221">
        <v>0.004625000000000001</v>
      </c>
      <c r="D958" s="221">
        <v>0.012052477885447443</v>
      </c>
      <c r="E958" s="233">
        <v>0.01698228097820644</v>
      </c>
      <c r="F958" s="232">
        <v>117.24006264076615</v>
      </c>
      <c r="G958" s="171">
        <v>0.0</v>
      </c>
      <c r="H958" s="230">
        <v>2662.6025355810216</v>
      </c>
      <c r="I958" s="232">
        <v>0.0</v>
      </c>
      <c r="J958" s="170">
        <v>46761.774999999994</v>
      </c>
    </row>
    <row r="959">
      <c r="A959" s="229">
        <v>42416.0</v>
      </c>
      <c r="B959" s="221">
        <v>0.006928031604878496</v>
      </c>
      <c r="C959" s="221">
        <v>0.004593750000000001</v>
      </c>
      <c r="D959" s="221">
        <v>0.011521781604878493</v>
      </c>
      <c r="E959" s="233">
        <v>0.01698228097820644</v>
      </c>
      <c r="F959" s="232">
        <v>117.24006264076615</v>
      </c>
      <c r="G959" s="171">
        <v>0.0</v>
      </c>
      <c r="H959" s="230">
        <v>2545.3624729402554</v>
      </c>
      <c r="I959" s="232">
        <v>0.0</v>
      </c>
      <c r="J959" s="170">
        <v>46715.674999999996</v>
      </c>
    </row>
    <row r="960">
      <c r="A960" s="229">
        <v>42415.0</v>
      </c>
      <c r="B960" s="221">
        <v>0.006428585324309544</v>
      </c>
      <c r="C960" s="221">
        <v>0.004562500000000001</v>
      </c>
      <c r="D960" s="221">
        <v>0.010991085324309542</v>
      </c>
      <c r="E960" s="233">
        <v>0.01698228097820644</v>
      </c>
      <c r="F960" s="232">
        <v>117.24006264076615</v>
      </c>
      <c r="G960" s="171">
        <v>0.0</v>
      </c>
      <c r="H960" s="230">
        <v>2428.1224102994893</v>
      </c>
      <c r="I960" s="232">
        <v>0.0</v>
      </c>
      <c r="J960" s="170">
        <v>46418.869999999995</v>
      </c>
    </row>
    <row r="961">
      <c r="A961" s="229">
        <v>42412.0</v>
      </c>
      <c r="B961" s="221">
        <v>0.005929139043740593</v>
      </c>
      <c r="C961" s="221">
        <v>0.0045312500000000006</v>
      </c>
      <c r="D961" s="221">
        <v>0.010460389043740592</v>
      </c>
      <c r="E961" s="233">
        <v>0.01698228097820644</v>
      </c>
      <c r="F961" s="232">
        <v>117.24006264076615</v>
      </c>
      <c r="G961" s="171">
        <v>0.0</v>
      </c>
      <c r="H961" s="230">
        <v>2310.882347658723</v>
      </c>
      <c r="I961" s="232">
        <v>0.0</v>
      </c>
      <c r="J961" s="170">
        <v>46995.35999999999</v>
      </c>
    </row>
    <row r="962">
      <c r="A962" s="229">
        <v>42411.0</v>
      </c>
      <c r="B962" s="221">
        <v>0.005429692763171641</v>
      </c>
      <c r="C962" s="221">
        <v>0.0045000000000000005</v>
      </c>
      <c r="D962" s="221">
        <v>0.00992969276317164</v>
      </c>
      <c r="E962" s="233">
        <v>0.01698228097820644</v>
      </c>
      <c r="F962" s="232">
        <v>117.24006264076615</v>
      </c>
      <c r="G962" s="171">
        <v>0.0</v>
      </c>
      <c r="H962" s="230">
        <v>2193.642285017957</v>
      </c>
      <c r="I962" s="232">
        <v>0.0</v>
      </c>
      <c r="J962" s="170">
        <v>46960.43</v>
      </c>
    </row>
    <row r="963">
      <c r="A963" s="229">
        <v>42410.0</v>
      </c>
      <c r="B963" s="221">
        <v>0.00493024648260269</v>
      </c>
      <c r="C963" s="221">
        <v>0.0044687500000000005</v>
      </c>
      <c r="D963" s="221">
        <v>0.00939899648260269</v>
      </c>
      <c r="E963" s="233">
        <v>0.01698228097820644</v>
      </c>
      <c r="F963" s="232">
        <v>117.24006264076593</v>
      </c>
      <c r="G963" s="171">
        <v>0.0</v>
      </c>
      <c r="H963" s="230">
        <v>2076.402222377191</v>
      </c>
      <c r="I963" s="232">
        <v>0.0</v>
      </c>
      <c r="J963" s="170">
        <v>45842.94</v>
      </c>
    </row>
    <row r="964">
      <c r="A964" s="229">
        <v>42409.0</v>
      </c>
      <c r="B964" s="221">
        <v>0.004430800202033738</v>
      </c>
      <c r="C964" s="221">
        <v>0.0044375000000000005</v>
      </c>
      <c r="D964" s="221">
        <v>0.00886830020203374</v>
      </c>
      <c r="E964" s="233">
        <v>0.01698228097820644</v>
      </c>
      <c r="F964" s="232">
        <v>117.24006264076615</v>
      </c>
      <c r="G964" s="171">
        <v>0.0</v>
      </c>
      <c r="H964" s="230">
        <v>1959.1621597364249</v>
      </c>
      <c r="I964" s="232">
        <v>0.0</v>
      </c>
      <c r="J964" s="170">
        <v>45491.575</v>
      </c>
    </row>
    <row r="965">
      <c r="A965" s="229">
        <v>42408.0</v>
      </c>
      <c r="B965" s="221">
        <v>0.003931353921464787</v>
      </c>
      <c r="C965" s="221">
        <v>0.0044062500000000004</v>
      </c>
      <c r="D965" s="221">
        <v>0.008337603921464789</v>
      </c>
      <c r="E965" s="233">
        <v>0.01698228097820644</v>
      </c>
      <c r="F965" s="232">
        <v>117.24006264076615</v>
      </c>
      <c r="G965" s="171">
        <v>0.0</v>
      </c>
      <c r="H965" s="230">
        <v>1841.9220970956587</v>
      </c>
      <c r="I965" s="232">
        <v>0.0</v>
      </c>
      <c r="J965" s="170">
        <v>46110.265</v>
      </c>
    </row>
    <row r="966">
      <c r="A966" s="229">
        <v>42405.0</v>
      </c>
      <c r="B966" s="221">
        <v>0.003431907640895835</v>
      </c>
      <c r="C966" s="221">
        <v>0.004375</v>
      </c>
      <c r="D966" s="221">
        <v>0.007806907640895838</v>
      </c>
      <c r="E966" s="233">
        <v>0.01698228097820644</v>
      </c>
      <c r="F966" s="232">
        <v>117.24006264076615</v>
      </c>
      <c r="G966" s="171">
        <v>0.0</v>
      </c>
      <c r="H966" s="230">
        <v>1724.6820344548926</v>
      </c>
      <c r="I966" s="232">
        <v>0.0</v>
      </c>
      <c r="J966" s="170">
        <v>45210.284999999996</v>
      </c>
    </row>
    <row r="967">
      <c r="A967" s="229">
        <v>42404.0</v>
      </c>
      <c r="B967" s="221">
        <v>0.002932461360326884</v>
      </c>
      <c r="C967" s="221">
        <v>0.00434375</v>
      </c>
      <c r="D967" s="221">
        <v>0.007276211360326887</v>
      </c>
      <c r="E967" s="233">
        <v>0.01698228097820644</v>
      </c>
      <c r="F967" s="232">
        <v>117.24006264076615</v>
      </c>
      <c r="G967" s="171">
        <v>0.0</v>
      </c>
      <c r="H967" s="230">
        <v>1607.4419718141264</v>
      </c>
      <c r="I967" s="232">
        <v>0.0</v>
      </c>
      <c r="J967" s="170">
        <v>45013.384999999995</v>
      </c>
    </row>
    <row r="968">
      <c r="A968" s="229">
        <v>42403.0</v>
      </c>
      <c r="B968" s="221">
        <v>0.002433015079757933</v>
      </c>
      <c r="C968" s="221">
        <v>0.0043125</v>
      </c>
      <c r="D968" s="221">
        <v>0.006745515079757935</v>
      </c>
      <c r="E968" s="233">
        <v>0.01698228097820644</v>
      </c>
      <c r="F968" s="232">
        <v>117.24006264076615</v>
      </c>
      <c r="G968" s="171">
        <v>0.0</v>
      </c>
      <c r="H968" s="230">
        <v>1490.2019091733603</v>
      </c>
      <c r="I968" s="232">
        <v>0.0</v>
      </c>
      <c r="J968" s="170">
        <v>45231.64</v>
      </c>
    </row>
    <row r="969">
      <c r="A969" s="229">
        <v>42402.0</v>
      </c>
      <c r="B969" s="221">
        <v>0.001933568799188982</v>
      </c>
      <c r="C969" s="221">
        <v>0.00428125</v>
      </c>
      <c r="D969" s="221">
        <v>0.006214818799188984</v>
      </c>
      <c r="E969" s="233">
        <v>0.01698228097820644</v>
      </c>
      <c r="F969" s="232">
        <v>117.24006264076615</v>
      </c>
      <c r="G969" s="171">
        <v>0.0</v>
      </c>
      <c r="H969" s="230">
        <v>1372.961846532594</v>
      </c>
      <c r="I969" s="232">
        <v>0.0</v>
      </c>
      <c r="J969" s="170">
        <v>45474.450000000004</v>
      </c>
    </row>
    <row r="970">
      <c r="A970" s="229">
        <v>42401.0</v>
      </c>
      <c r="B970" s="221">
        <v>0.001434122518620031</v>
      </c>
      <c r="C970" s="221">
        <v>0.00425</v>
      </c>
      <c r="D970" s="221">
        <v>0.005684122518620032</v>
      </c>
      <c r="E970" s="233">
        <v>0.01698228097820644</v>
      </c>
      <c r="F970" s="232">
        <v>117.24006264076615</v>
      </c>
      <c r="G970" s="171">
        <v>0.0</v>
      </c>
      <c r="H970" s="230">
        <v>1255.721783891828</v>
      </c>
      <c r="I970" s="232">
        <v>0.0</v>
      </c>
      <c r="J970" s="170">
        <v>45553.355</v>
      </c>
    </row>
    <row r="971">
      <c r="A971" s="229">
        <v>42398.0</v>
      </c>
      <c r="B971" s="221">
        <v>9.346762380510799E-4</v>
      </c>
      <c r="C971" s="221">
        <v>0.00421875</v>
      </c>
      <c r="D971" s="221">
        <v>0.005153426238051081</v>
      </c>
      <c r="E971" s="233">
        <v>0.01698228097820644</v>
      </c>
      <c r="F971" s="232">
        <v>117.24006264076604</v>
      </c>
      <c r="G971" s="171">
        <v>0.0</v>
      </c>
      <c r="H971" s="230">
        <v>1138.4817212510618</v>
      </c>
      <c r="I971" s="232">
        <v>0.0</v>
      </c>
      <c r="J971" s="170">
        <v>45546.26</v>
      </c>
    </row>
    <row r="972">
      <c r="A972" s="229">
        <v>42397.0</v>
      </c>
      <c r="B972" s="221">
        <v>4.352299574821287E-4</v>
      </c>
      <c r="C972" s="221">
        <v>0.0041875</v>
      </c>
      <c r="D972" s="221">
        <v>0.004622729957482129</v>
      </c>
      <c r="E972" s="233">
        <v>0.01698228097820644</v>
      </c>
      <c r="F972" s="232">
        <v>117.24006264076604</v>
      </c>
      <c r="G972" s="171">
        <v>0.0</v>
      </c>
      <c r="H972" s="230">
        <v>1021.2416586102958</v>
      </c>
      <c r="I972" s="232">
        <v>0.0</v>
      </c>
      <c r="J972" s="170">
        <v>44855.564999999995</v>
      </c>
    </row>
    <row r="973">
      <c r="A973" s="229">
        <v>42396.0</v>
      </c>
      <c r="B973" s="221">
        <v>-6.421632308682246E-5</v>
      </c>
      <c r="C973" s="221">
        <v>0.00415625</v>
      </c>
      <c r="D973" s="221">
        <v>0.0040920336769131775</v>
      </c>
      <c r="E973" s="233">
        <v>0.01698228097820644</v>
      </c>
      <c r="F973" s="232">
        <v>117.24006264076604</v>
      </c>
      <c r="G973" s="171">
        <v>0.0</v>
      </c>
      <c r="H973" s="230">
        <v>904.0015959695297</v>
      </c>
      <c r="I973" s="232">
        <v>0.0</v>
      </c>
      <c r="J973" s="170">
        <v>45216.365</v>
      </c>
    </row>
    <row r="974">
      <c r="A974" s="229">
        <v>42395.0</v>
      </c>
      <c r="B974" s="221">
        <v>-5.636626036557736E-4</v>
      </c>
      <c r="C974" s="221">
        <v>0.004125</v>
      </c>
      <c r="D974" s="221">
        <v>0.0035613373963442265</v>
      </c>
      <c r="E974" s="233">
        <v>0.01698228097820644</v>
      </c>
      <c r="F974" s="232">
        <v>117.24006264076604</v>
      </c>
      <c r="G974" s="171">
        <v>0.0</v>
      </c>
      <c r="H974" s="230">
        <v>786.7615333287637</v>
      </c>
      <c r="I974" s="232">
        <v>0.0</v>
      </c>
      <c r="J974" s="170">
        <v>45331.215</v>
      </c>
    </row>
    <row r="975">
      <c r="A975" s="229">
        <v>42394.0</v>
      </c>
      <c r="B975" s="221">
        <v>-0.0010631088842247248</v>
      </c>
      <c r="C975" s="221">
        <v>0.00409375</v>
      </c>
      <c r="D975" s="221">
        <v>0.0030306411157752754</v>
      </c>
      <c r="E975" s="233">
        <v>0.01698228097820644</v>
      </c>
      <c r="F975" s="232">
        <v>117.24006264076604</v>
      </c>
      <c r="G975" s="171">
        <v>0.0</v>
      </c>
      <c r="H975" s="230">
        <v>669.5214706879976</v>
      </c>
      <c r="I975" s="232">
        <v>0.0</v>
      </c>
      <c r="J975" s="170">
        <v>45104.95</v>
      </c>
    </row>
    <row r="976">
      <c r="A976" s="229">
        <v>42391.0</v>
      </c>
      <c r="B976" s="221">
        <v>-0.0015625551647936759</v>
      </c>
      <c r="C976" s="221">
        <v>0.0040625</v>
      </c>
      <c r="D976" s="221">
        <v>0.0024999448352063243</v>
      </c>
      <c r="E976" s="233">
        <v>0.01698228097820644</v>
      </c>
      <c r="F976" s="232">
        <v>117.24006264076604</v>
      </c>
      <c r="G976" s="171">
        <v>0.0</v>
      </c>
      <c r="H976" s="230">
        <v>552.2814080472316</v>
      </c>
      <c r="I976" s="232">
        <v>0.0</v>
      </c>
      <c r="J976" s="170">
        <v>44960.005</v>
      </c>
    </row>
    <row r="977">
      <c r="A977" s="229">
        <v>42390.0</v>
      </c>
      <c r="B977" s="221">
        <v>-0.002062001445362627</v>
      </c>
      <c r="C977" s="221">
        <v>0.00403125</v>
      </c>
      <c r="D977" s="221">
        <v>0.001969248554637373</v>
      </c>
      <c r="E977" s="233">
        <v>0.01698228097820644</v>
      </c>
      <c r="F977" s="232">
        <v>117.24006264076604</v>
      </c>
      <c r="G977" s="171">
        <v>0.0</v>
      </c>
      <c r="H977" s="230">
        <v>435.04134540646555</v>
      </c>
      <c r="I977" s="232">
        <v>0.0</v>
      </c>
      <c r="J977" s="170">
        <v>44762.09999999999</v>
      </c>
    </row>
    <row r="978">
      <c r="A978" s="229">
        <v>42389.0</v>
      </c>
      <c r="B978" s="221">
        <v>-0.002561447725931578</v>
      </c>
      <c r="C978" s="221">
        <v>0.004</v>
      </c>
      <c r="D978" s="221">
        <v>0.001438552274068422</v>
      </c>
      <c r="E978" s="221">
        <v>0.0011275319964809813</v>
      </c>
      <c r="F978" s="232">
        <v>9.225610366146952</v>
      </c>
      <c r="G978" s="171">
        <v>0.0</v>
      </c>
      <c r="H978" s="230">
        <v>317.8012827656995</v>
      </c>
      <c r="I978" s="232">
        <v>0.0</v>
      </c>
      <c r="J978" s="170">
        <v>44566.43</v>
      </c>
    </row>
    <row r="979">
      <c r="A979" s="229">
        <v>42388.0</v>
      </c>
      <c r="B979" s="221">
        <v>-0.0025661711332086484</v>
      </c>
      <c r="C979" s="221">
        <v>0.003962962962962968</v>
      </c>
      <c r="D979" s="221">
        <v>0.0013967918297543127</v>
      </c>
      <c r="E979" s="233">
        <v>0.0011275319964809813</v>
      </c>
      <c r="F979" s="232">
        <v>9.225610366146896</v>
      </c>
      <c r="G979" s="171">
        <v>0.0</v>
      </c>
      <c r="H979" s="230">
        <v>308.57567239955256</v>
      </c>
      <c r="I979" s="232">
        <v>0.0</v>
      </c>
      <c r="J979" s="170">
        <v>44224.57</v>
      </c>
    </row>
    <row r="980">
      <c r="A980" s="229">
        <v>42387.0</v>
      </c>
      <c r="B980" s="221">
        <v>-0.002570894540485722</v>
      </c>
      <c r="C980" s="221">
        <v>0.003925925925925931</v>
      </c>
      <c r="D980" s="221">
        <v>0.0013550313854402021</v>
      </c>
      <c r="E980" s="233">
        <v>0.0011275319964809813</v>
      </c>
      <c r="F980" s="232">
        <v>9.225610366146896</v>
      </c>
      <c r="G980" s="171">
        <v>0.0</v>
      </c>
      <c r="H980" s="230">
        <v>299.35006203340566</v>
      </c>
      <c r="I980" s="232">
        <v>0.0</v>
      </c>
      <c r="J980" s="170">
        <v>44368.865</v>
      </c>
    </row>
    <row r="981">
      <c r="A981" s="229">
        <v>42384.0</v>
      </c>
      <c r="B981" s="221">
        <v>-0.0025756179477627954</v>
      </c>
      <c r="C981" s="221">
        <v>0.003888888888888894</v>
      </c>
      <c r="D981" s="221">
        <v>0.0013132709411260916</v>
      </c>
      <c r="E981" s="233">
        <v>0.0011275319964809813</v>
      </c>
      <c r="F981" s="232">
        <v>9.225610366146896</v>
      </c>
      <c r="G981" s="171">
        <v>0.0</v>
      </c>
      <c r="H981" s="230">
        <v>290.12445166725877</v>
      </c>
      <c r="I981" s="232">
        <v>0.0</v>
      </c>
      <c r="J981" s="170">
        <v>44081.305</v>
      </c>
    </row>
    <row r="982">
      <c r="A982" s="229">
        <v>42383.0</v>
      </c>
      <c r="B982" s="221">
        <v>-0.002580341355039869</v>
      </c>
      <c r="C982" s="221">
        <v>0.0038518518518518567</v>
      </c>
      <c r="D982" s="221">
        <v>0.001271510496811981</v>
      </c>
      <c r="E982" s="233">
        <v>0.0011275319964809813</v>
      </c>
      <c r="F982" s="232">
        <v>9.225610366146896</v>
      </c>
      <c r="G982" s="171">
        <v>0.0</v>
      </c>
      <c r="H982" s="230">
        <v>280.8988413011119</v>
      </c>
      <c r="I982" s="232">
        <v>0.0</v>
      </c>
      <c r="J982" s="170">
        <v>44303.815</v>
      </c>
    </row>
    <row r="983">
      <c r="A983" s="229">
        <v>42382.0</v>
      </c>
      <c r="B983" s="221">
        <v>-0.0025850647623169424</v>
      </c>
      <c r="C983" s="221">
        <v>0.0038148148148148195</v>
      </c>
      <c r="D983" s="221">
        <v>0.0012297500524978706</v>
      </c>
      <c r="E983" s="233">
        <v>0.0011275319964809813</v>
      </c>
      <c r="F983" s="232">
        <v>9.225610366146896</v>
      </c>
      <c r="G983" s="171">
        <v>0.0</v>
      </c>
      <c r="H983" s="230">
        <v>271.673230934965</v>
      </c>
      <c r="I983" s="232">
        <v>0.0</v>
      </c>
      <c r="J983" s="170">
        <v>44543.64</v>
      </c>
    </row>
    <row r="984">
      <c r="A984" s="229">
        <v>42381.0</v>
      </c>
      <c r="B984" s="221">
        <v>-0.002589788169594016</v>
      </c>
      <c r="C984" s="221">
        <v>0.0037777777777777822</v>
      </c>
      <c r="D984" s="221">
        <v>0.00118798960818376</v>
      </c>
      <c r="E984" s="233">
        <v>0.0011275319964809813</v>
      </c>
      <c r="F984" s="232">
        <v>9.225610366146896</v>
      </c>
      <c r="G984" s="171">
        <v>0.0</v>
      </c>
      <c r="H984" s="230">
        <v>262.4476205688181</v>
      </c>
      <c r="I984" s="232">
        <v>0.0</v>
      </c>
      <c r="J984" s="170">
        <v>44540.104999999996</v>
      </c>
    </row>
    <row r="985">
      <c r="A985" s="229">
        <v>42380.0</v>
      </c>
      <c r="B985" s="221">
        <v>-0.0025945115768710894</v>
      </c>
      <c r="C985" s="221">
        <v>0.003740740740740745</v>
      </c>
      <c r="D985" s="221">
        <v>0.0011462291638696495</v>
      </c>
      <c r="E985" s="233">
        <v>0.0011275319964809813</v>
      </c>
      <c r="F985" s="232">
        <v>9.225610366146924</v>
      </c>
      <c r="G985" s="171">
        <v>0.0</v>
      </c>
      <c r="H985" s="230">
        <v>253.22201020267119</v>
      </c>
      <c r="I985" s="232">
        <v>0.0</v>
      </c>
      <c r="J985" s="170">
        <v>44609.165</v>
      </c>
    </row>
    <row r="986">
      <c r="A986" s="229">
        <v>42377.0</v>
      </c>
      <c r="B986" s="221">
        <v>-0.002599234984148163</v>
      </c>
      <c r="C986" s="221">
        <v>0.0037037037037037077</v>
      </c>
      <c r="D986" s="221">
        <v>0.001104468719555539</v>
      </c>
      <c r="E986" s="233">
        <v>0.0011275319964809813</v>
      </c>
      <c r="F986" s="232">
        <v>9.225610366146924</v>
      </c>
      <c r="G986" s="171">
        <v>0.0</v>
      </c>
      <c r="H986" s="230">
        <v>243.99639983652426</v>
      </c>
      <c r="I986" s="232">
        <v>0.0</v>
      </c>
      <c r="J986" s="170">
        <v>44764.01500000001</v>
      </c>
    </row>
    <row r="987">
      <c r="A987" s="229">
        <v>42376.0</v>
      </c>
      <c r="B987" s="221">
        <v>-0.0026039583914252364</v>
      </c>
      <c r="C987" s="221">
        <v>0.0036666666666666705</v>
      </c>
      <c r="D987" s="221">
        <v>0.0010627082752414285</v>
      </c>
      <c r="E987" s="233">
        <v>0.0011275319964809813</v>
      </c>
      <c r="F987" s="232">
        <v>9.225610366146924</v>
      </c>
      <c r="G987" s="171">
        <v>0.0</v>
      </c>
      <c r="H987" s="230">
        <v>234.77078947037734</v>
      </c>
      <c r="I987" s="232">
        <v>0.0</v>
      </c>
      <c r="J987" s="170">
        <v>45005.83</v>
      </c>
    </row>
    <row r="988">
      <c r="A988" s="229">
        <v>42375.0</v>
      </c>
      <c r="B988" s="221">
        <v>-0.00260868179870231</v>
      </c>
      <c r="C988" s="221">
        <v>0.0036296296296296333</v>
      </c>
      <c r="D988" s="221">
        <v>0.001020947830927318</v>
      </c>
      <c r="E988" s="233">
        <v>0.0011275319964809813</v>
      </c>
      <c r="F988" s="232">
        <v>9.225610366146924</v>
      </c>
      <c r="G988" s="171">
        <v>0.0</v>
      </c>
      <c r="H988" s="230">
        <v>225.5451791042304</v>
      </c>
      <c r="I988" s="232">
        <v>0.0</v>
      </c>
      <c r="J988" s="170">
        <v>45064.25</v>
      </c>
    </row>
    <row r="989">
      <c r="A989" s="229">
        <v>42374.0</v>
      </c>
      <c r="B989" s="221">
        <v>-0.0026134052059793834</v>
      </c>
      <c r="C989" s="221">
        <v>0.003592592592592596</v>
      </c>
      <c r="D989" s="221">
        <v>9.791873866132074E-4</v>
      </c>
      <c r="E989" s="233">
        <v>0.0011275319964809813</v>
      </c>
      <c r="F989" s="232">
        <v>9.225610366146924</v>
      </c>
      <c r="G989" s="171">
        <v>0.0</v>
      </c>
      <c r="H989" s="230">
        <v>216.3195687380835</v>
      </c>
      <c r="I989" s="232">
        <v>0.0</v>
      </c>
      <c r="J989" s="170">
        <v>44874.525</v>
      </c>
    </row>
    <row r="990">
      <c r="A990" s="229">
        <v>42373.0</v>
      </c>
      <c r="B990" s="221">
        <v>-0.002618128613256457</v>
      </c>
      <c r="C990" s="221">
        <v>0.0035555555555555588</v>
      </c>
      <c r="D990" s="221">
        <v>9.37426942299097E-4</v>
      </c>
      <c r="E990" s="233">
        <v>0.0011275319964809813</v>
      </c>
      <c r="F990" s="232">
        <v>9.225610366146924</v>
      </c>
      <c r="G990" s="171">
        <v>0.0</v>
      </c>
      <c r="H990" s="230">
        <v>207.09395837193657</v>
      </c>
      <c r="I990" s="232">
        <v>0.0</v>
      </c>
      <c r="J990" s="170">
        <v>44519.74</v>
      </c>
    </row>
    <row r="991">
      <c r="A991" s="229">
        <v>42369.0</v>
      </c>
      <c r="B991" s="221">
        <v>-0.0026228520205335303</v>
      </c>
      <c r="C991" s="221">
        <v>0.0035185185185185215</v>
      </c>
      <c r="D991" s="221">
        <v>8.956664979849866E-4</v>
      </c>
      <c r="E991" s="233">
        <v>0.0011275319964809813</v>
      </c>
      <c r="F991" s="232">
        <v>9.225610366146924</v>
      </c>
      <c r="G991" s="171">
        <v>0.0</v>
      </c>
      <c r="H991" s="230">
        <v>197.86834800578964</v>
      </c>
      <c r="I991" s="232">
        <v>0.0</v>
      </c>
      <c r="J991" s="170">
        <v>43768.90499999999</v>
      </c>
    </row>
    <row r="992">
      <c r="A992" s="229">
        <v>42368.0</v>
      </c>
      <c r="B992" s="221">
        <v>-0.002627575427810604</v>
      </c>
      <c r="C992" s="221">
        <v>0.0034814814814814843</v>
      </c>
      <c r="D992" s="221">
        <v>8.539060536708762E-4</v>
      </c>
      <c r="E992" s="233">
        <v>0.0011275319964809813</v>
      </c>
      <c r="F992" s="232">
        <v>9.225610366146924</v>
      </c>
      <c r="G992" s="171">
        <v>0.0</v>
      </c>
      <c r="H992" s="230">
        <v>188.64273763964272</v>
      </c>
      <c r="I992" s="232">
        <v>0.0</v>
      </c>
      <c r="J992" s="170">
        <v>43701.825</v>
      </c>
    </row>
    <row r="993">
      <c r="A993" s="229">
        <v>42367.0</v>
      </c>
      <c r="B993" s="221">
        <v>-0.0026322988350876773</v>
      </c>
      <c r="C993" s="221">
        <v>0.003444444444444447</v>
      </c>
      <c r="D993" s="221">
        <v>8.121456093567658E-4</v>
      </c>
      <c r="E993" s="233">
        <v>0.0011275319964809813</v>
      </c>
      <c r="F993" s="232">
        <v>9.225610366146924</v>
      </c>
      <c r="G993" s="171">
        <v>0.0</v>
      </c>
      <c r="H993" s="230">
        <v>179.4171272734958</v>
      </c>
      <c r="I993" s="232">
        <v>0.0</v>
      </c>
      <c r="J993" s="170">
        <v>43961.97</v>
      </c>
    </row>
    <row r="994">
      <c r="A994" s="229">
        <v>42366.0</v>
      </c>
      <c r="B994" s="221">
        <v>-0.002637022242364751</v>
      </c>
      <c r="C994" s="221">
        <v>0.0034074074074074098</v>
      </c>
      <c r="D994" s="221">
        <v>7.703851650426554E-4</v>
      </c>
      <c r="E994" s="233">
        <v>0.0011275319964809813</v>
      </c>
      <c r="F994" s="232">
        <v>9.225610366146924</v>
      </c>
      <c r="G994" s="171">
        <v>0.0</v>
      </c>
      <c r="H994" s="230">
        <v>170.19151690734887</v>
      </c>
      <c r="I994" s="232">
        <v>0.0</v>
      </c>
      <c r="J994" s="170">
        <v>43686.935</v>
      </c>
    </row>
    <row r="995">
      <c r="A995" s="229">
        <v>42362.0</v>
      </c>
      <c r="B995" s="221">
        <v>-0.0026417456496418243</v>
      </c>
      <c r="C995" s="221">
        <v>0.0033703703703703725</v>
      </c>
      <c r="D995" s="221">
        <v>7.28624720728545E-4</v>
      </c>
      <c r="E995" s="233">
        <v>0.0011275319964809813</v>
      </c>
      <c r="F995" s="232">
        <v>9.225610366146924</v>
      </c>
      <c r="G995" s="171">
        <v>0.0</v>
      </c>
      <c r="H995" s="230">
        <v>160.96590654120195</v>
      </c>
      <c r="I995" s="232">
        <v>0.0</v>
      </c>
      <c r="J995" s="170">
        <v>43912.05</v>
      </c>
    </row>
    <row r="996">
      <c r="A996" s="229">
        <v>42361.0</v>
      </c>
      <c r="B996" s="221">
        <v>-0.002646469056918898</v>
      </c>
      <c r="C996" s="221">
        <v>0.0033333333333333353</v>
      </c>
      <c r="D996" s="221">
        <v>6.868642764144346E-4</v>
      </c>
      <c r="E996" s="233">
        <v>0.0011275319964809813</v>
      </c>
      <c r="F996" s="232">
        <v>9.225610366146924</v>
      </c>
      <c r="G996" s="171">
        <v>0.0</v>
      </c>
      <c r="H996" s="230">
        <v>151.74029617505502</v>
      </c>
      <c r="I996" s="232">
        <v>0.0</v>
      </c>
      <c r="J996" s="170">
        <v>44072.33</v>
      </c>
    </row>
    <row r="997">
      <c r="A997" s="229">
        <v>42360.0</v>
      </c>
      <c r="B997" s="221">
        <v>-0.0026511924641959713</v>
      </c>
      <c r="C997" s="221">
        <v>0.003296296296296298</v>
      </c>
      <c r="D997" s="221">
        <v>6.451038321003241E-4</v>
      </c>
      <c r="E997" s="233">
        <v>0.0011275319964809813</v>
      </c>
      <c r="F997" s="232">
        <v>9.225610366146924</v>
      </c>
      <c r="G997" s="171">
        <v>0.0</v>
      </c>
      <c r="H997" s="230">
        <v>142.5146858089081</v>
      </c>
      <c r="I997" s="232">
        <v>0.0</v>
      </c>
      <c r="J997" s="170">
        <v>43814.965</v>
      </c>
    </row>
    <row r="998">
      <c r="A998" s="229">
        <v>42359.0</v>
      </c>
      <c r="B998" s="221">
        <v>-0.0026559158714730448</v>
      </c>
      <c r="C998" s="221">
        <v>0.003259259259259261</v>
      </c>
      <c r="D998" s="221">
        <v>6.033433877862137E-4</v>
      </c>
      <c r="E998" s="233">
        <v>0.0011275319964809813</v>
      </c>
      <c r="F998" s="232">
        <v>9.22561036614691</v>
      </c>
      <c r="G998" s="171">
        <v>0.0</v>
      </c>
      <c r="H998" s="230">
        <v>133.28907544276117</v>
      </c>
      <c r="I998" s="232">
        <v>0.0</v>
      </c>
      <c r="J998" s="170">
        <v>44089.945</v>
      </c>
    </row>
    <row r="999">
      <c r="A999" s="229">
        <v>42356.0</v>
      </c>
      <c r="B999" s="221">
        <v>-0.0026606392787501183</v>
      </c>
      <c r="C999" s="221">
        <v>0.0032222222222222235</v>
      </c>
      <c r="D999" s="221">
        <v>5.615829434721033E-4</v>
      </c>
      <c r="E999" s="233">
        <v>0.0011275319964809813</v>
      </c>
      <c r="F999" s="232">
        <v>9.22561036614691</v>
      </c>
      <c r="G999" s="171">
        <v>0.0</v>
      </c>
      <c r="H999" s="230">
        <v>124.06346507661426</v>
      </c>
      <c r="I999" s="232">
        <v>0.0</v>
      </c>
      <c r="J999" s="170">
        <v>44110.295</v>
      </c>
    </row>
    <row r="1000">
      <c r="A1000" s="229">
        <v>42355.0</v>
      </c>
      <c r="B1000" s="221">
        <v>-0.0026653626860271918</v>
      </c>
      <c r="C1000" s="221">
        <v>0.0031851851851851863</v>
      </c>
      <c r="D1000" s="221">
        <v>5.198224991579929E-4</v>
      </c>
      <c r="E1000" s="233">
        <v>0.0011275319964809813</v>
      </c>
      <c r="F1000" s="232">
        <v>9.22561036614691</v>
      </c>
      <c r="G1000" s="171">
        <v>0.0</v>
      </c>
      <c r="H1000" s="230">
        <v>114.83785471046735</v>
      </c>
      <c r="I1000" s="232">
        <v>0.0</v>
      </c>
      <c r="J1000" s="170">
        <v>43843.185</v>
      </c>
    </row>
    <row r="1001">
      <c r="A1001" s="229">
        <v>42354.0</v>
      </c>
      <c r="B1001" s="221">
        <v>-0.0026700860933042653</v>
      </c>
      <c r="C1001" s="221">
        <v>0.003148148148148149</v>
      </c>
      <c r="D1001" s="221">
        <v>4.780620548438825E-4</v>
      </c>
      <c r="E1001" s="233">
        <v>0.0011275319964809813</v>
      </c>
      <c r="F1001" s="232">
        <v>9.22561036614691</v>
      </c>
      <c r="G1001" s="171">
        <v>0.0</v>
      </c>
      <c r="H1001" s="230">
        <v>105.61224434432044</v>
      </c>
      <c r="I1001" s="232">
        <v>0.0</v>
      </c>
      <c r="J1001" s="170">
        <v>43946.450000000004</v>
      </c>
    </row>
    <row r="1002">
      <c r="A1002" s="229">
        <v>42353.0</v>
      </c>
      <c r="B1002" s="221">
        <v>-0.0026748095005813387</v>
      </c>
      <c r="C1002" s="221">
        <v>0.003111111111111112</v>
      </c>
      <c r="D1002" s="221">
        <v>4.363016105297721E-4</v>
      </c>
      <c r="E1002" s="233">
        <v>0.0011275319964809813</v>
      </c>
      <c r="F1002" s="232">
        <v>9.22561036614691</v>
      </c>
      <c r="G1002" s="171">
        <v>0.0</v>
      </c>
      <c r="H1002" s="230">
        <v>96.38663397817353</v>
      </c>
      <c r="I1002" s="232">
        <v>0.0</v>
      </c>
      <c r="J1002" s="170">
        <v>43648.575</v>
      </c>
    </row>
    <row r="1003">
      <c r="A1003" s="229">
        <v>42352.0</v>
      </c>
      <c r="B1003" s="221">
        <v>-0.0026795329078584122</v>
      </c>
      <c r="C1003" s="221">
        <v>0.0030740740740740746</v>
      </c>
      <c r="D1003" s="221">
        <v>3.9454116621566167E-4</v>
      </c>
      <c r="E1003" s="233">
        <v>0.0011275319964809813</v>
      </c>
      <c r="F1003" s="232">
        <v>9.22561036614691</v>
      </c>
      <c r="G1003" s="171">
        <v>0.0</v>
      </c>
      <c r="H1003" s="230">
        <v>87.16102361202663</v>
      </c>
      <c r="I1003" s="232">
        <v>0.0</v>
      </c>
      <c r="J1003" s="170">
        <v>43399.98</v>
      </c>
    </row>
    <row r="1004">
      <c r="A1004" s="229">
        <v>42349.0</v>
      </c>
      <c r="B1004" s="221">
        <v>-0.0026842563151354857</v>
      </c>
      <c r="C1004" s="221">
        <v>0.0030370370370370373</v>
      </c>
      <c r="D1004" s="221">
        <v>3.5278072190155125E-4</v>
      </c>
      <c r="E1004" s="233">
        <v>0.0011275319964809813</v>
      </c>
      <c r="F1004" s="232">
        <v>9.22561036614691</v>
      </c>
      <c r="G1004" s="171">
        <v>0.0</v>
      </c>
      <c r="H1004" s="230">
        <v>77.93541324587972</v>
      </c>
      <c r="I1004" s="232">
        <v>0.0</v>
      </c>
      <c r="J1004" s="170">
        <v>43826.90000000001</v>
      </c>
    </row>
    <row r="1005">
      <c r="A1005" s="229">
        <v>42348.0</v>
      </c>
      <c r="B1005" s="221">
        <v>-0.0026889797224125592</v>
      </c>
      <c r="C1005" s="221">
        <v>0.003</v>
      </c>
      <c r="D1005" s="221">
        <v>3.1102027758744084E-4</v>
      </c>
      <c r="E1005" s="221">
        <v>7.120803062497165E-4</v>
      </c>
      <c r="F1005" s="232">
        <v>6.050421418535052</v>
      </c>
      <c r="G1005" s="171">
        <v>0.0</v>
      </c>
      <c r="H1005" s="230">
        <v>68.7098028797328</v>
      </c>
      <c r="I1005" s="232">
        <v>0.0</v>
      </c>
      <c r="J1005" s="170">
        <v>43981.85</v>
      </c>
    </row>
    <row r="1006">
      <c r="A1006" s="229">
        <v>42347.0</v>
      </c>
      <c r="B1006" s="221">
        <v>-0.0026779058880375462</v>
      </c>
      <c r="C1006" s="221">
        <v>0.0029615384615384608</v>
      </c>
      <c r="D1006" s="221">
        <v>2.8363257350091323E-4</v>
      </c>
      <c r="E1006" s="233">
        <v>7.120803062497165E-4</v>
      </c>
      <c r="F1006" s="232">
        <v>6.050421418535024</v>
      </c>
      <c r="G1006" s="171">
        <v>0.0</v>
      </c>
      <c r="H1006" s="230">
        <v>62.65938146119775</v>
      </c>
      <c r="I1006" s="232">
        <v>0.0</v>
      </c>
      <c r="J1006" s="170">
        <v>41558.482</v>
      </c>
    </row>
    <row r="1007">
      <c r="A1007" s="229">
        <v>42346.0</v>
      </c>
      <c r="B1007" s="221">
        <v>-0.0026668320536625354</v>
      </c>
      <c r="C1007" s="221">
        <v>0.0029230769230769223</v>
      </c>
      <c r="D1007" s="221">
        <v>2.562448694143857E-4</v>
      </c>
      <c r="E1007" s="233">
        <v>7.120803062497165E-4</v>
      </c>
      <c r="F1007" s="232">
        <v>6.050421418535024</v>
      </c>
      <c r="G1007" s="171">
        <v>0.0</v>
      </c>
      <c r="H1007" s="230">
        <v>56.60896004266273</v>
      </c>
      <c r="I1007" s="232">
        <v>0.0</v>
      </c>
      <c r="J1007" s="170">
        <v>42018.119999999995</v>
      </c>
    </row>
    <row r="1008">
      <c r="A1008" s="229">
        <v>42345.0</v>
      </c>
      <c r="B1008" s="221">
        <v>-0.0026557582192875246</v>
      </c>
      <c r="C1008" s="221">
        <v>0.002884615384615384</v>
      </c>
      <c r="D1008" s="221">
        <v>2.288571653278581E-4</v>
      </c>
      <c r="E1008" s="233">
        <v>7.120803062497165E-4</v>
      </c>
      <c r="F1008" s="232">
        <v>6.050421418535024</v>
      </c>
      <c r="G1008" s="171">
        <v>0.0</v>
      </c>
      <c r="H1008" s="230">
        <v>50.558538624127706</v>
      </c>
      <c r="I1008" s="232">
        <v>0.0</v>
      </c>
      <c r="J1008" s="170">
        <v>42217.183999999994</v>
      </c>
    </row>
    <row r="1009">
      <c r="A1009" s="229">
        <v>42342.0</v>
      </c>
      <c r="B1009" s="221">
        <v>-0.0026446843849125138</v>
      </c>
      <c r="C1009" s="221">
        <v>0.0028461538461538455</v>
      </c>
      <c r="D1009" s="221">
        <v>2.0146946124133055E-4</v>
      </c>
      <c r="E1009" s="233">
        <v>7.120803062497165E-4</v>
      </c>
      <c r="F1009" s="232">
        <v>6.050421418535024</v>
      </c>
      <c r="G1009" s="171">
        <v>0.0</v>
      </c>
      <c r="H1009" s="230">
        <v>44.50811720559268</v>
      </c>
      <c r="I1009" s="232">
        <v>0.0</v>
      </c>
      <c r="J1009" s="170">
        <v>42307.076</v>
      </c>
    </row>
    <row r="1010">
      <c r="A1010" s="229">
        <v>42341.0</v>
      </c>
      <c r="B1010" s="221">
        <v>-0.002633610550537503</v>
      </c>
      <c r="C1010" s="221">
        <v>0.002807692307692307</v>
      </c>
      <c r="D1010" s="221">
        <v>1.74081757154803E-4</v>
      </c>
      <c r="E1010" s="233">
        <v>7.120803062497165E-4</v>
      </c>
      <c r="F1010" s="232">
        <v>6.050421418535024</v>
      </c>
      <c r="G1010" s="171">
        <v>0.0</v>
      </c>
      <c r="H1010" s="230">
        <v>38.45769578705766</v>
      </c>
      <c r="I1010" s="232">
        <v>0.0</v>
      </c>
      <c r="J1010" s="170">
        <v>41501.662000000004</v>
      </c>
    </row>
    <row r="1011">
      <c r="A1011" s="229">
        <v>42340.0</v>
      </c>
      <c r="B1011" s="221">
        <v>-0.002622536716162492</v>
      </c>
      <c r="C1011" s="221">
        <v>0.0027692307692307686</v>
      </c>
      <c r="D1011" s="221">
        <v>1.4669405306827544E-4</v>
      </c>
      <c r="E1011" s="233">
        <v>7.120803062497165E-4</v>
      </c>
      <c r="F1011" s="232">
        <v>6.050421418535024</v>
      </c>
      <c r="G1011" s="171">
        <v>0.0</v>
      </c>
      <c r="H1011" s="230">
        <v>32.407274368522636</v>
      </c>
      <c r="I1011" s="232">
        <v>0.0</v>
      </c>
      <c r="J1011" s="170">
        <v>42871.08</v>
      </c>
    </row>
    <row r="1012">
      <c r="A1012" s="229">
        <v>42339.0</v>
      </c>
      <c r="B1012" s="221">
        <v>-0.0026114628817874813</v>
      </c>
      <c r="C1012" s="221">
        <v>0.00273076923076923</v>
      </c>
      <c r="D1012" s="221">
        <v>1.1930634898174788E-4</v>
      </c>
      <c r="E1012" s="233">
        <v>7.120803062497165E-4</v>
      </c>
      <c r="F1012" s="232">
        <v>6.050421418535024</v>
      </c>
      <c r="G1012" s="171">
        <v>0.0</v>
      </c>
      <c r="H1012" s="230">
        <v>26.356852949987612</v>
      </c>
      <c r="I1012" s="232">
        <v>0.0</v>
      </c>
      <c r="J1012" s="170">
        <v>42982.829999999994</v>
      </c>
    </row>
    <row r="1013">
      <c r="A1013" s="229">
        <v>42338.0</v>
      </c>
      <c r="B1013" s="221">
        <v>-0.0026003890474124705</v>
      </c>
      <c r="C1013" s="221">
        <v>0.0026923076923076918</v>
      </c>
      <c r="D1013" s="221">
        <v>9.191864489522032E-5</v>
      </c>
      <c r="E1013" s="233">
        <v>7.120803062497165E-4</v>
      </c>
      <c r="F1013" s="232">
        <v>6.050421418535027</v>
      </c>
      <c r="G1013" s="171">
        <v>0.0</v>
      </c>
      <c r="H1013" s="230">
        <v>20.30643153145259</v>
      </c>
      <c r="I1013" s="232">
        <v>0.0</v>
      </c>
      <c r="J1013" s="170">
        <v>43095.864</v>
      </c>
    </row>
    <row r="1014">
      <c r="A1014" s="229">
        <v>42335.0</v>
      </c>
      <c r="B1014" s="221">
        <v>-0.0025893152130374597</v>
      </c>
      <c r="C1014" s="221">
        <v>0.0026538461538461533</v>
      </c>
      <c r="D1014" s="221">
        <v>6.453094080869277E-5</v>
      </c>
      <c r="E1014" s="233">
        <v>7.120803062497165E-4</v>
      </c>
      <c r="F1014" s="232">
        <v>6.050421418535025</v>
      </c>
      <c r="G1014" s="171">
        <v>0.0</v>
      </c>
      <c r="H1014" s="230">
        <v>14.256010112917561</v>
      </c>
      <c r="I1014" s="232">
        <v>0.0</v>
      </c>
      <c r="J1014" s="170">
        <v>42783.1</v>
      </c>
    </row>
    <row r="1015">
      <c r="A1015" s="229">
        <v>42334.0</v>
      </c>
      <c r="B1015" s="221">
        <v>-0.002578241378662449</v>
      </c>
      <c r="C1015" s="221">
        <v>0.002615384615384615</v>
      </c>
      <c r="D1015" s="221">
        <v>3.714323672216522E-5</v>
      </c>
      <c r="E1015" s="233">
        <v>7.120803062497165E-4</v>
      </c>
      <c r="F1015" s="232">
        <v>6.050421418535025</v>
      </c>
      <c r="G1015" s="171">
        <v>0.0</v>
      </c>
      <c r="H1015" s="230">
        <v>8.205588694382536</v>
      </c>
      <c r="I1015" s="232">
        <v>0.0</v>
      </c>
      <c r="J1015" s="170">
        <v>43130.956</v>
      </c>
    </row>
    <row r="1016">
      <c r="A1016" s="229">
        <v>42333.0</v>
      </c>
      <c r="B1016" s="221">
        <v>-0.002567167544287438</v>
      </c>
      <c r="C1016" s="221">
        <v>0.0025769230769230765</v>
      </c>
      <c r="D1016" s="221">
        <v>9.75553263563766E-6</v>
      </c>
      <c r="E1016" s="233">
        <v>7.120803062497165E-4</v>
      </c>
      <c r="F1016" s="232">
        <v>6.050421418535025</v>
      </c>
      <c r="G1016" s="171">
        <v>0.0</v>
      </c>
      <c r="H1016" s="230">
        <v>2.1551672758475107</v>
      </c>
      <c r="I1016" s="232">
        <v>0.0</v>
      </c>
      <c r="J1016" s="170">
        <v>43090.298</v>
      </c>
    </row>
    <row r="1017">
      <c r="A1017" s="229">
        <v>42332.0</v>
      </c>
      <c r="B1017" s="221">
        <v>-0.002556093709912427</v>
      </c>
      <c r="C1017" s="221">
        <v>0.002538461538461538</v>
      </c>
      <c r="D1017" s="221">
        <v>-1.7632171450889896E-5</v>
      </c>
      <c r="E1017" s="233">
        <v>7.120803062497165E-4</v>
      </c>
      <c r="F1017" s="232">
        <v>6.050421418535025</v>
      </c>
      <c r="G1017" s="171">
        <v>0.0</v>
      </c>
      <c r="H1017" s="230">
        <v>-3.8952541426875147</v>
      </c>
      <c r="I1017" s="232">
        <v>0.0</v>
      </c>
      <c r="J1017" s="170">
        <v>43038.876</v>
      </c>
    </row>
    <row r="1018">
      <c r="A1018" s="229">
        <v>42331.0</v>
      </c>
      <c r="B1018" s="221">
        <v>-0.0025450198755374164</v>
      </c>
      <c r="C1018" s="221">
        <v>0.0024999999999999996</v>
      </c>
      <c r="D1018" s="221">
        <v>-4.501987553741745E-5</v>
      </c>
      <c r="E1018" s="233">
        <v>7.120803062497165E-4</v>
      </c>
      <c r="F1018" s="232">
        <v>6.050421418535025</v>
      </c>
      <c r="G1018" s="171">
        <v>0.0</v>
      </c>
      <c r="H1018" s="230">
        <v>-9.94567556122254</v>
      </c>
      <c r="I1018" s="232">
        <v>0.0</v>
      </c>
      <c r="J1018" s="170">
        <v>43003.382</v>
      </c>
    </row>
    <row r="1019">
      <c r="A1019" s="229">
        <v>42328.0</v>
      </c>
      <c r="B1019" s="221">
        <v>-0.0025339460411624055</v>
      </c>
      <c r="C1019" s="221">
        <v>0.002461538461538461</v>
      </c>
      <c r="D1019" s="221">
        <v>-7.2407579623945E-5</v>
      </c>
      <c r="E1019" s="233">
        <v>7.120803062497165E-4</v>
      </c>
      <c r="F1019" s="232">
        <v>6.050421418535025</v>
      </c>
      <c r="G1019" s="171">
        <v>0.0</v>
      </c>
      <c r="H1019" s="230">
        <v>-15.996096979757565</v>
      </c>
      <c r="I1019" s="232">
        <v>0.0</v>
      </c>
      <c r="J1019" s="170">
        <v>43076.581999999995</v>
      </c>
    </row>
    <row r="1020">
      <c r="A1020" s="229">
        <v>42327.0</v>
      </c>
      <c r="B1020" s="221">
        <v>-0.0025228722067873947</v>
      </c>
      <c r="C1020" s="221">
        <v>0.0024230769230769228</v>
      </c>
      <c r="D1020" s="221">
        <v>-9.979528371047256E-5</v>
      </c>
      <c r="E1020" s="233">
        <v>7.120803062497165E-4</v>
      </c>
      <c r="F1020" s="232">
        <v>6.050421418535024</v>
      </c>
      <c r="G1020" s="171">
        <v>0.0</v>
      </c>
      <c r="H1020" s="230">
        <v>-22.04651839829259</v>
      </c>
      <c r="I1020" s="232">
        <v>0.0</v>
      </c>
      <c r="J1020" s="170">
        <v>42805.324</v>
      </c>
    </row>
    <row r="1021">
      <c r="A1021" s="229">
        <v>42326.0</v>
      </c>
      <c r="B1021" s="221">
        <v>-0.002511798372412384</v>
      </c>
      <c r="C1021" s="221">
        <v>0.0023846153846153843</v>
      </c>
      <c r="D1021" s="221">
        <v>-1.271829877970001E-4</v>
      </c>
      <c r="E1021" s="233">
        <v>7.120803062497165E-4</v>
      </c>
      <c r="F1021" s="232">
        <v>6.050421418535024</v>
      </c>
      <c r="G1021" s="171">
        <v>0.0</v>
      </c>
      <c r="H1021" s="230">
        <v>-28.096939816827614</v>
      </c>
      <c r="I1021" s="232">
        <v>0.0</v>
      </c>
      <c r="J1021" s="170">
        <v>42784.856</v>
      </c>
    </row>
    <row r="1022">
      <c r="A1022" s="229">
        <v>42325.0</v>
      </c>
      <c r="B1022" s="221">
        <v>-0.002500724538037373</v>
      </c>
      <c r="C1022" s="221">
        <v>0.002346153846153846</v>
      </c>
      <c r="D1022" s="221">
        <v>-1.5457069188352766E-4</v>
      </c>
      <c r="E1022" s="233">
        <v>7.120803062497165E-4</v>
      </c>
      <c r="F1022" s="232">
        <v>6.050421418535024</v>
      </c>
      <c r="G1022" s="171">
        <v>0.0</v>
      </c>
      <c r="H1022" s="230">
        <v>-34.14736123536264</v>
      </c>
      <c r="I1022" s="232">
        <v>0.0</v>
      </c>
      <c r="J1022" s="170">
        <v>42882.655999999995</v>
      </c>
    </row>
    <row r="1023">
      <c r="A1023" s="229">
        <v>42324.0</v>
      </c>
      <c r="B1023" s="221">
        <v>-0.0024896507036623623</v>
      </c>
      <c r="C1023" s="221">
        <v>0.0023076923076923075</v>
      </c>
      <c r="D1023" s="221">
        <v>-1.8195839597005522E-4</v>
      </c>
      <c r="E1023" s="233">
        <v>7.120803062497165E-4</v>
      </c>
      <c r="F1023" s="232">
        <v>6.050421418535024</v>
      </c>
      <c r="G1023" s="171">
        <v>0.0</v>
      </c>
      <c r="H1023" s="230">
        <v>-40.19778265389766</v>
      </c>
      <c r="I1023" s="232">
        <v>0.0</v>
      </c>
      <c r="J1023" s="170">
        <v>42801.334</v>
      </c>
    </row>
    <row r="1024">
      <c r="A1024" s="229">
        <v>42321.0</v>
      </c>
      <c r="B1024" s="221">
        <v>-0.0024785768692873514</v>
      </c>
      <c r="C1024" s="221">
        <v>0.002269230769230769</v>
      </c>
      <c r="D1024" s="221">
        <v>-2.0934610005658277E-4</v>
      </c>
      <c r="E1024" s="233">
        <v>7.120803062497165E-4</v>
      </c>
      <c r="F1024" s="232">
        <v>6.050421418535024</v>
      </c>
      <c r="G1024" s="171">
        <v>0.0</v>
      </c>
      <c r="H1024" s="230">
        <v>-46.248204072432685</v>
      </c>
      <c r="I1024" s="232">
        <v>0.0</v>
      </c>
      <c r="J1024" s="170">
        <v>42741.464</v>
      </c>
    </row>
    <row r="1025">
      <c r="A1025" s="229">
        <v>42320.0</v>
      </c>
      <c r="B1025" s="221">
        <v>-0.0024675030349123406</v>
      </c>
      <c r="C1025" s="221">
        <v>0.0022307692307692306</v>
      </c>
      <c r="D1025" s="221">
        <v>-2.3673380414311032E-4</v>
      </c>
      <c r="E1025" s="233">
        <v>7.120803062497165E-4</v>
      </c>
      <c r="F1025" s="232">
        <v>6.050421418535024</v>
      </c>
      <c r="G1025" s="171">
        <v>0.0</v>
      </c>
      <c r="H1025" s="230">
        <v>-52.29862549096771</v>
      </c>
      <c r="I1025" s="232">
        <v>0.0</v>
      </c>
      <c r="J1025" s="170">
        <v>42561.76000000001</v>
      </c>
    </row>
    <row r="1026">
      <c r="A1026" s="229">
        <v>42319.0</v>
      </c>
      <c r="B1026" s="221">
        <v>-0.00245642920053733</v>
      </c>
      <c r="C1026" s="221">
        <v>0.002192307692307692</v>
      </c>
      <c r="D1026" s="221">
        <v>-2.641215082296379E-4</v>
      </c>
      <c r="E1026" s="233">
        <v>7.120803062497165E-4</v>
      </c>
      <c r="F1026" s="232">
        <v>6.050421418535024</v>
      </c>
      <c r="G1026" s="171">
        <v>0.0</v>
      </c>
      <c r="H1026" s="230">
        <v>-58.34904690950273</v>
      </c>
      <c r="I1026" s="232">
        <v>0.0</v>
      </c>
      <c r="J1026" s="170">
        <v>42919.37</v>
      </c>
    </row>
    <row r="1027">
      <c r="A1027" s="229">
        <v>42318.0</v>
      </c>
      <c r="B1027" s="221">
        <v>-0.002445355366162319</v>
      </c>
      <c r="C1027" s="221">
        <v>0.0021538461538461538</v>
      </c>
      <c r="D1027" s="221">
        <v>-2.915092123161654E-4</v>
      </c>
      <c r="E1027" s="233">
        <v>7.120803062497165E-4</v>
      </c>
      <c r="F1027" s="232">
        <v>6.050421418535024</v>
      </c>
      <c r="G1027" s="171">
        <v>0.0</v>
      </c>
      <c r="H1027" s="230">
        <v>-64.39946832803776</v>
      </c>
      <c r="I1027" s="232">
        <v>0.0</v>
      </c>
      <c r="J1027" s="170">
        <v>43305.664000000004</v>
      </c>
    </row>
    <row r="1028">
      <c r="A1028" s="229">
        <v>42317.0</v>
      </c>
      <c r="B1028" s="221">
        <v>-0.002434281531787308</v>
      </c>
      <c r="C1028" s="221">
        <v>0.0021153846153846153</v>
      </c>
      <c r="D1028" s="221">
        <v>-3.18896916402693E-4</v>
      </c>
      <c r="E1028" s="233">
        <v>7.120803062497165E-4</v>
      </c>
      <c r="F1028" s="232">
        <v>6.050421418535024</v>
      </c>
      <c r="G1028" s="171">
        <v>0.0</v>
      </c>
      <c r="H1028" s="230">
        <v>-70.44988974657278</v>
      </c>
      <c r="I1028" s="232">
        <v>0.0</v>
      </c>
      <c r="J1028" s="170">
        <v>42909.178</v>
      </c>
    </row>
    <row r="1029">
      <c r="A1029" s="229">
        <v>42314.0</v>
      </c>
      <c r="B1029" s="221">
        <v>-0.0024232076974122973</v>
      </c>
      <c r="C1029" s="221">
        <v>0.002076923076923077</v>
      </c>
      <c r="D1029" s="221">
        <v>-3.4628462048922053E-4</v>
      </c>
      <c r="E1029" s="233">
        <v>7.120803062497165E-4</v>
      </c>
      <c r="F1029" s="232">
        <v>6.050421418535024</v>
      </c>
      <c r="G1029" s="171">
        <v>0.0</v>
      </c>
      <c r="H1029" s="230">
        <v>-76.5003111651078</v>
      </c>
      <c r="I1029" s="232">
        <v>0.0</v>
      </c>
      <c r="J1029" s="170">
        <v>42997.746</v>
      </c>
    </row>
    <row r="1030">
      <c r="A1030" s="229">
        <v>42313.0</v>
      </c>
      <c r="B1030" s="221">
        <v>-0.0024121338630372865</v>
      </c>
      <c r="C1030" s="221">
        <v>0.0020384615384615385</v>
      </c>
      <c r="D1030" s="221">
        <v>-3.736723245757481E-4</v>
      </c>
      <c r="E1030" s="233">
        <v>7.120803062497165E-4</v>
      </c>
      <c r="F1030" s="232">
        <v>6.050421418535024</v>
      </c>
      <c r="G1030" s="171">
        <v>0.0</v>
      </c>
      <c r="H1030" s="230">
        <v>-82.55073258364283</v>
      </c>
      <c r="I1030" s="232">
        <v>0.0</v>
      </c>
      <c r="J1030" s="170">
        <v>40739.58</v>
      </c>
    </row>
    <row r="1031">
      <c r="A1031" s="229">
        <v>42312.0</v>
      </c>
      <c r="B1031" s="21">
        <v>-0.0024010600286622757</v>
      </c>
      <c r="C1031" s="21">
        <v>0.002</v>
      </c>
      <c r="D1031" s="159">
        <v>-4.0106002866227564E-4</v>
      </c>
      <c r="E1031" s="159">
        <v>0.002510353508606969</v>
      </c>
      <c r="F1031" s="232">
        <v>277.29043275375744</v>
      </c>
      <c r="G1031" s="171">
        <v>0.0</v>
      </c>
      <c r="H1031" s="230">
        <v>-88.60115400217785</v>
      </c>
      <c r="I1031" s="232">
        <v>0.0</v>
      </c>
      <c r="J1031" s="170">
        <v>40961.0</v>
      </c>
    </row>
    <row r="1032">
      <c r="A1032" s="229">
        <v>42311.0</v>
      </c>
      <c r="B1032" s="221">
        <v>-0.00315623678296576</v>
      </c>
      <c r="C1032" s="221">
        <v>0.0015</v>
      </c>
      <c r="D1032" s="221">
        <v>-0.00165623678296576</v>
      </c>
      <c r="E1032" s="221">
        <v>0.002510353508606969</v>
      </c>
      <c r="F1032" s="232">
        <v>277.29043275375744</v>
      </c>
      <c r="G1032" s="171">
        <v>0.0</v>
      </c>
      <c r="H1032" s="230">
        <v>-365.8915867559353</v>
      </c>
      <c r="I1032" s="232">
        <v>0.0</v>
      </c>
      <c r="J1032" s="170">
        <v>40891.66</v>
      </c>
    </row>
    <row r="1033">
      <c r="A1033" s="229">
        <v>42310.0</v>
      </c>
      <c r="B1033" s="21">
        <v>-0.003911413537269245</v>
      </c>
      <c r="C1033" s="21">
        <v>0.001</v>
      </c>
      <c r="D1033" s="159">
        <v>-0.0029114135372692446</v>
      </c>
      <c r="E1033" s="159">
        <v>-0.0029114135372692446</v>
      </c>
      <c r="F1033" s="232">
        <v>-128.6364039019386</v>
      </c>
      <c r="G1033" s="171">
        <v>0.0</v>
      </c>
      <c r="H1033" s="230">
        <v>-643.1820195096927</v>
      </c>
      <c r="I1033" s="232">
        <v>0.0</v>
      </c>
      <c r="J1033" s="170">
        <v>40874.619999999995</v>
      </c>
    </row>
    <row r="1034">
      <c r="A1034" s="229">
        <v>42307.0</v>
      </c>
      <c r="B1034" s="221">
        <v>-0.0031291308298153956</v>
      </c>
      <c r="C1034" s="221">
        <v>8.0E-4</v>
      </c>
      <c r="D1034" s="221">
        <v>-0.0023291308298153957</v>
      </c>
      <c r="E1034" s="233">
        <v>-0.0029114135372692446</v>
      </c>
      <c r="F1034" s="232">
        <v>-128.63640390193854</v>
      </c>
      <c r="G1034" s="171">
        <v>0.0</v>
      </c>
      <c r="H1034" s="230">
        <v>-514.5456156077541</v>
      </c>
      <c r="I1034" s="232">
        <v>0.0</v>
      </c>
      <c r="J1034" s="170">
        <v>41021.030000000006</v>
      </c>
    </row>
    <row r="1035">
      <c r="A1035" s="229">
        <v>42306.0</v>
      </c>
      <c r="B1035" s="221">
        <v>-0.0023468481223615466</v>
      </c>
      <c r="C1035" s="221">
        <v>6.000000000000001E-4</v>
      </c>
      <c r="D1035" s="221">
        <v>-0.0017468481223615467</v>
      </c>
      <c r="E1035" s="233">
        <v>-0.0029114135372692446</v>
      </c>
      <c r="F1035" s="232">
        <v>-128.63640390193854</v>
      </c>
      <c r="G1035" s="171">
        <v>0.0</v>
      </c>
      <c r="H1035" s="230">
        <v>-385.9092117058156</v>
      </c>
      <c r="I1035" s="232">
        <v>0.0</v>
      </c>
      <c r="J1035" s="170">
        <v>41408.369999999995</v>
      </c>
    </row>
    <row r="1036">
      <c r="A1036" s="229">
        <v>42305.0</v>
      </c>
      <c r="B1036" s="221">
        <v>-0.0015645654149076978</v>
      </c>
      <c r="C1036" s="221">
        <v>4.0E-4</v>
      </c>
      <c r="D1036" s="221">
        <v>-0.0011645654149076978</v>
      </c>
      <c r="E1036" s="233">
        <v>-0.0029114135372692446</v>
      </c>
      <c r="F1036" s="232">
        <v>-128.63640390193854</v>
      </c>
      <c r="G1036" s="171">
        <v>0.0</v>
      </c>
      <c r="H1036" s="230">
        <v>-257.2728078038771</v>
      </c>
      <c r="I1036" s="232">
        <v>0.0</v>
      </c>
      <c r="J1036" s="170">
        <v>41785.67</v>
      </c>
    </row>
    <row r="1037">
      <c r="A1037" s="229">
        <v>42304.0</v>
      </c>
      <c r="B1037" s="221">
        <v>-7.822827074538489E-4</v>
      </c>
      <c r="C1037" s="221">
        <v>2.0E-4</v>
      </c>
      <c r="D1037" s="221">
        <v>-5.822827074538489E-4</v>
      </c>
      <c r="E1037" s="233">
        <v>-0.0029114135372692446</v>
      </c>
      <c r="F1037" s="232">
        <v>-128.63640390193854</v>
      </c>
      <c r="G1037" s="171">
        <v>0.0</v>
      </c>
      <c r="H1037" s="230">
        <v>-128.63640390193854</v>
      </c>
      <c r="I1037" s="232">
        <v>0.0</v>
      </c>
      <c r="J1037" s="170">
        <v>41581.969999999994</v>
      </c>
    </row>
    <row r="1038">
      <c r="A1038" s="229">
        <v>42303.0</v>
      </c>
      <c r="B1038" s="221">
        <v>0.0</v>
      </c>
      <c r="C1038" s="221">
        <v>0.0</v>
      </c>
      <c r="D1038" s="221">
        <v>0.0</v>
      </c>
      <c r="E1038" s="221">
        <v>0.0</v>
      </c>
      <c r="F1038" s="232">
        <v>0.0</v>
      </c>
      <c r="G1038" s="171">
        <v>0.0</v>
      </c>
      <c r="H1038" s="230">
        <v>0.0</v>
      </c>
      <c r="I1038" s="232">
        <v>0.0</v>
      </c>
      <c r="J1038" s="170">
        <v>41571.39000000001</v>
      </c>
    </row>
  </sheetData>
  <conditionalFormatting sqref="E2:E1038">
    <cfRule type="cellIs" dxfId="10" priority="1" operator="greaterThanOrEqual">
      <formula>0</formula>
    </cfRule>
  </conditionalFormatting>
  <conditionalFormatting sqref="E2:E1038">
    <cfRule type="cellIs" dxfId="11" priority="2" operator="lessThan">
      <formula>0</formula>
    </cfRule>
  </conditionalFormatting>
  <conditionalFormatting sqref="H1:J1038">
    <cfRule type="expression" dxfId="12" priority="3">
      <formula>H1=MAX(H:H)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34" t="s">
        <v>354</v>
      </c>
    </row>
    <row r="2">
      <c r="A2" s="235" t="s">
        <v>47</v>
      </c>
      <c r="B2" s="236">
        <f>Dashboard!$B34</f>
        <v>676134.263</v>
      </c>
    </row>
    <row r="3">
      <c r="A3" s="235" t="s">
        <v>355</v>
      </c>
      <c r="B3" s="31">
        <f>Dashboard!$B35</f>
        <v>-339084.22</v>
      </c>
    </row>
    <row r="4">
      <c r="A4" s="235" t="s">
        <v>356</v>
      </c>
      <c r="B4" s="236">
        <f>B2+B3</f>
        <v>337050.043</v>
      </c>
    </row>
    <row r="5">
      <c r="A5" s="235" t="s">
        <v>357</v>
      </c>
      <c r="B5" s="31">
        <f>-B3+B4-B4*2</f>
        <v>2034.177</v>
      </c>
    </row>
    <row r="6">
      <c r="A6" s="237" t="s">
        <v>354</v>
      </c>
      <c r="B6" s="238">
        <f>B4-B5</f>
        <v>335015.866</v>
      </c>
    </row>
    <row r="7">
      <c r="A7" s="239" t="s">
        <v>358</v>
      </c>
      <c r="B7" s="211"/>
    </row>
    <row r="8">
      <c r="A8" s="235" t="s">
        <v>359</v>
      </c>
      <c r="B8" s="236">
        <f>B2*0.7</f>
        <v>473293.9841</v>
      </c>
    </row>
    <row r="9">
      <c r="A9" s="235" t="s">
        <v>355</v>
      </c>
      <c r="B9" s="31">
        <f>B3</f>
        <v>-339084.22</v>
      </c>
    </row>
    <row r="10">
      <c r="A10" s="237" t="s">
        <v>358</v>
      </c>
      <c r="B10" s="238">
        <f>B8+B9</f>
        <v>134209.7641</v>
      </c>
    </row>
    <row r="11">
      <c r="A11" s="240" t="s">
        <v>361</v>
      </c>
      <c r="B11" s="241">
        <f>B10</f>
        <v>134209.7641</v>
      </c>
    </row>
    <row r="12">
      <c r="A12" s="237" t="s">
        <v>362</v>
      </c>
      <c r="B12" s="242">
        <v>355000.0</v>
      </c>
    </row>
    <row r="13">
      <c r="A13" s="237" t="s">
        <v>363</v>
      </c>
      <c r="B13" s="243">
        <f>ROUNDUP((MIN(-B3,$B$15*2.3)-Investment!$T$7-Investment!$AU$7-Dashboard!$B$20-Dashboard!$B$56)/1000)*1000</f>
        <v>340000</v>
      </c>
    </row>
    <row r="14">
      <c r="A14" s="237" t="s">
        <v>364</v>
      </c>
      <c r="B14" s="242"/>
    </row>
    <row r="15">
      <c r="A15" s="244" t="s">
        <v>365</v>
      </c>
      <c r="B15" s="245">
        <f>Dashboard!$B$46+AVERAGEIFS(Evolution!$H:$H,Evolution!$A:$A,"&gt;"&amp;EOMONTH(DateTime!$B$2,-1),Evolution!$A:$A,"&lt;="&amp;EOMONTH(DateTime!$B$2,0)+1)</f>
        <v>338440.3703</v>
      </c>
    </row>
    <row r="16">
      <c r="A16" s="235" t="s">
        <v>367</v>
      </c>
      <c r="B16" s="18">
        <f>$B$15-Dashboard!$B$46</f>
        <v>128283.8403</v>
      </c>
    </row>
    <row r="17">
      <c r="A17" s="235" t="s">
        <v>368</v>
      </c>
      <c r="B17" s="18">
        <f>$B$4+$B$15*2.3</f>
        <v>1115462.895</v>
      </c>
    </row>
  </sheetData>
  <mergeCells count="2">
    <mergeCell ref="A7:B7"/>
    <mergeCell ref="A1:B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43"/>
    <col customWidth="1" min="2" max="2" width="12.0"/>
    <col customWidth="1" min="3" max="4" width="11.86"/>
    <col customWidth="1" min="5" max="5" width="8.43"/>
    <col customWidth="1" min="6" max="6" width="12.0"/>
    <col customWidth="1" min="7" max="7" width="8.43"/>
    <col customWidth="1" min="8" max="8" width="12.0"/>
    <col customWidth="1" min="9" max="9" width="9.0"/>
    <col customWidth="1" min="10" max="10" width="6.86"/>
    <col customWidth="1" min="11" max="11" width="9.0"/>
    <col customWidth="1" min="12" max="12" width="9.86"/>
    <col customWidth="1" min="13" max="13" width="8.43"/>
    <col customWidth="1" min="14" max="14" width="9.14"/>
    <col customWidth="1" min="15" max="15" width="6.43"/>
  </cols>
  <sheetData>
    <row r="1">
      <c r="A1" s="42" t="s">
        <v>2</v>
      </c>
      <c r="B1" s="3" t="s">
        <v>26</v>
      </c>
      <c r="C1" s="42" t="s">
        <v>369</v>
      </c>
      <c r="D1" s="3" t="s">
        <v>370</v>
      </c>
      <c r="E1" s="3" t="s">
        <v>371</v>
      </c>
      <c r="F1" s="3" t="s">
        <v>246</v>
      </c>
      <c r="G1" s="3" t="s">
        <v>372</v>
      </c>
      <c r="H1" s="3" t="s">
        <v>337</v>
      </c>
      <c r="I1" s="246" t="s">
        <v>373</v>
      </c>
      <c r="J1" s="3" t="s">
        <v>372</v>
      </c>
      <c r="K1" s="3" t="s">
        <v>374</v>
      </c>
      <c r="L1" s="3" t="s">
        <v>245</v>
      </c>
      <c r="M1" s="3" t="s">
        <v>375</v>
      </c>
      <c r="N1" s="3" t="s">
        <v>337</v>
      </c>
      <c r="O1" s="3" t="s">
        <v>372</v>
      </c>
    </row>
    <row r="2">
      <c r="A2" s="165">
        <v>43770.0</v>
      </c>
      <c r="B2" s="170">
        <v>339316.24</v>
      </c>
      <c r="C2" s="170">
        <v>355000.0</v>
      </c>
      <c r="D2" s="170">
        <f>IF(C2&lt;&gt;0,-SUMIFS(Historic!G:G,Historic!A:A,"&lt;="&amp;EOMONTH($A2,0)),0)</f>
        <v>339084.22</v>
      </c>
      <c r="E2" s="223">
        <f t="shared" ref="E2:E3" si="1">IF(C2,D2/C2,0)</f>
        <v>0.9551668169</v>
      </c>
      <c r="F2" s="170">
        <f t="shared" ref="F2:F3" si="2">B2+D2</f>
        <v>678400.46</v>
      </c>
      <c r="G2" s="223">
        <f t="shared" ref="G2:G3" si="3">C2/(B2+C2)</f>
        <v>0.5112943923</v>
      </c>
      <c r="H2" s="170">
        <f t="shared" ref="H2:H3" si="4">B2-B3</f>
        <v>-24459.67</v>
      </c>
      <c r="I2" s="247">
        <f>IF(AND(MONTH($A2)=MONTH(DateTime!$B$2),YEAR($A2)=YEAR(DateTime!$B$2)),Dashboard!$B$56,IF($C2&lt;&gt;0,MIN(MINIFS(Historic!$G:$G,Historic!$D:$D,"COST",Historic!$B:$B,"",Historic!$A:$A,"&gt;="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-382.12</v>
      </c>
      <c r="J2" s="21">
        <f t="shared" ref="J2:J3" si="5">IF(C2&lt;&gt;0,-I2/C2,0)</f>
        <v>0.001076394366</v>
      </c>
      <c r="K2" s="170">
        <f t="shared" ref="K2:K3" si="6">$I2*ABS(1-$E2)</f>
        <v>-17.13165593</v>
      </c>
      <c r="L2" s="170">
        <f>SUMIFS(Historic!G:G,Historic!D:D,"=DIVIDEND",Historic!B:B,"&lt;&gt;",Historic!A:A,"&gt;=" &amp; $A2,Historic!A:A,"&lt;=" &amp; EOMONTH($A2,0))</f>
        <v>0</v>
      </c>
      <c r="M2" s="248">
        <f t="shared" ref="M2:M3" si="7">(SUM(OFFSET($L2,0,0,12,1))+SUM(OFFSET($I2,0,0,12,1)))/AVERAGE(OFFSET($B2,0,0,12,1))*$B2/MIN(ROWS(M:M)-ROW()+1,12)</f>
        <v>671.6768689</v>
      </c>
      <c r="N2" s="170">
        <f t="shared" ref="N2:N3" si="8">M2-M3</f>
        <v>-205.9759023</v>
      </c>
      <c r="O2" s="223">
        <f t="shared" ref="O2:O3" si="9">M2/B2*12</f>
        <v>0.02375401315</v>
      </c>
    </row>
    <row r="3">
      <c r="A3" s="165">
        <v>43739.0</v>
      </c>
      <c r="B3" s="170">
        <v>363775.91</v>
      </c>
      <c r="C3" s="170">
        <v>343000.0</v>
      </c>
      <c r="D3" s="170">
        <f>IF(C3&lt;&gt;0,-SUMIFS(Historic!G:G,Historic!A:A,"&lt;="&amp;EOMONTH($A3,0)),0)</f>
        <v>340861.07</v>
      </c>
      <c r="E3" s="223">
        <f t="shared" si="1"/>
        <v>0.9937640525</v>
      </c>
      <c r="F3" s="170">
        <f t="shared" si="2"/>
        <v>704636.98</v>
      </c>
      <c r="G3" s="223">
        <f t="shared" si="3"/>
        <v>0.4853023358</v>
      </c>
      <c r="H3" s="170">
        <f t="shared" si="4"/>
        <v>-993.1</v>
      </c>
      <c r="I3" s="247">
        <f>IF(AND(MONTH($A3)=MONTH(DateTime!$B$2),YEAR($A3)=YEAR(DateTime!$B$2)),Dashboard!$B$56,IF($C3&lt;&gt;0,MIN(MINIFS(Historic!$G:$G,Historic!$D:$D,"COST",Historic!$B:$B,"",Historic!$A:$A,"&gt;="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-369.69</v>
      </c>
      <c r="J3" s="21">
        <f t="shared" si="5"/>
        <v>0.001077813411</v>
      </c>
      <c r="K3" s="170">
        <f t="shared" si="6"/>
        <v>-2.305367439</v>
      </c>
      <c r="L3" s="170">
        <f>SUMIFS(Historic!G:G,Historic!D:D,"=DIVIDEND",Historic!B:B,"&lt;&gt;",Historic!A:A,"&gt;=" &amp; $A3,Historic!A:A,"&lt;=" &amp; EOMONTH($A3,0))</f>
        <v>821.64</v>
      </c>
      <c r="M3" s="248">
        <f t="shared" si="7"/>
        <v>877.6527712</v>
      </c>
      <c r="N3" s="170">
        <f t="shared" si="8"/>
        <v>-44.4241276</v>
      </c>
      <c r="O3" s="223">
        <f t="shared" si="9"/>
        <v>0.02895143127</v>
      </c>
    </row>
    <row r="4">
      <c r="A4" s="165">
        <v>43709.0</v>
      </c>
      <c r="B4" s="170">
        <v>364769.01</v>
      </c>
      <c r="C4" s="170">
        <v>366000.0</v>
      </c>
      <c r="D4" s="170">
        <v>343149.9700000004</v>
      </c>
      <c r="E4" s="223">
        <v>0.9375682240437169</v>
      </c>
      <c r="F4" s="170">
        <v>707918.9800000004</v>
      </c>
      <c r="G4" s="223">
        <v>0.5008422565702396</v>
      </c>
      <c r="H4" s="170">
        <v>36182.526999999944</v>
      </c>
      <c r="I4" s="247">
        <v>-369.3</v>
      </c>
      <c r="J4" s="21">
        <v>0.001009016393442623</v>
      </c>
      <c r="K4" s="170">
        <v>-23.05605486065536</v>
      </c>
      <c r="L4" s="170">
        <v>-10.37</v>
      </c>
      <c r="M4" s="248">
        <v>922.076898823846</v>
      </c>
      <c r="N4" s="170">
        <v>72.70395761652969</v>
      </c>
      <c r="O4" s="223">
        <v>0.030334053832824646</v>
      </c>
    </row>
    <row r="5">
      <c r="A5" s="165">
        <v>43678.0</v>
      </c>
      <c r="B5" s="170">
        <v>328586.48300000007</v>
      </c>
      <c r="C5" s="170">
        <v>415000.0</v>
      </c>
      <c r="D5" s="170">
        <v>364822.96000000037</v>
      </c>
      <c r="E5" s="223">
        <v>0.8790914698795189</v>
      </c>
      <c r="F5" s="170">
        <v>693409.4430000004</v>
      </c>
      <c r="G5" s="223">
        <v>0.558105895531724</v>
      </c>
      <c r="H5" s="170">
        <v>20790.565000000177</v>
      </c>
      <c r="I5" s="247">
        <v>-461.31</v>
      </c>
      <c r="J5" s="21">
        <v>0.0011115903614457832</v>
      </c>
      <c r="K5" s="170">
        <v>-55.77631402987913</v>
      </c>
      <c r="L5" s="170">
        <v>0.0</v>
      </c>
      <c r="M5" s="248">
        <v>849.3729412073163</v>
      </c>
      <c r="N5" s="170">
        <v>37.709829362573146</v>
      </c>
      <c r="O5" s="223">
        <v>0.031019155752940068</v>
      </c>
    </row>
    <row r="6">
      <c r="A6" s="165">
        <v>43647.0</v>
      </c>
      <c r="B6" s="170">
        <v>307795.9179999999</v>
      </c>
      <c r="C6" s="170">
        <v>418000.0</v>
      </c>
      <c r="D6" s="170">
        <v>413985.11999999994</v>
      </c>
      <c r="E6" s="223">
        <v>0.9903950239234448</v>
      </c>
      <c r="F6" s="170">
        <v>721781.0379999998</v>
      </c>
      <c r="G6" s="223">
        <v>0.5759194694175727</v>
      </c>
      <c r="H6" s="170">
        <v>13032.844399999827</v>
      </c>
      <c r="I6" s="247">
        <v>-450.16</v>
      </c>
      <c r="J6" s="21">
        <v>0.0010769377990430622</v>
      </c>
      <c r="K6" s="170">
        <v>-4.323776030622087</v>
      </c>
      <c r="L6" s="170">
        <v>861.88</v>
      </c>
      <c r="M6" s="248">
        <v>811.6631118447432</v>
      </c>
      <c r="N6" s="170">
        <v>29.111681332530907</v>
      </c>
      <c r="O6" s="223">
        <v>0.031644205697805655</v>
      </c>
    </row>
    <row r="7">
      <c r="A7" s="165">
        <v>43617.0</v>
      </c>
      <c r="B7" s="170">
        <v>294763.07360000006</v>
      </c>
      <c r="C7" s="170">
        <v>510000.0</v>
      </c>
      <c r="D7" s="170">
        <v>417943.75999999995</v>
      </c>
      <c r="E7" s="223">
        <v>0.8194975686274509</v>
      </c>
      <c r="F7" s="170">
        <v>712706.8336</v>
      </c>
      <c r="G7" s="223">
        <v>0.6337268902244523</v>
      </c>
      <c r="H7" s="170">
        <v>9074.642899999977</v>
      </c>
      <c r="I7" s="247">
        <v>-495.83</v>
      </c>
      <c r="J7" s="21">
        <v>9.722156862745098E-4</v>
      </c>
      <c r="K7" s="170">
        <v>-89.498520547451</v>
      </c>
      <c r="L7" s="170">
        <v>3401.28</v>
      </c>
      <c r="M7" s="248">
        <v>782.5514305122123</v>
      </c>
      <c r="N7" s="170">
        <v>83.99692328997833</v>
      </c>
      <c r="O7" s="223">
        <v>0.03185818715844245</v>
      </c>
    </row>
    <row r="8">
      <c r="A8" s="165">
        <v>43586.0</v>
      </c>
      <c r="B8" s="170">
        <v>285688.4307000001</v>
      </c>
      <c r="C8" s="170">
        <v>497000.0</v>
      </c>
      <c r="D8" s="170">
        <v>419838.1899999999</v>
      </c>
      <c r="E8" s="223">
        <v>0.8447448490945672</v>
      </c>
      <c r="F8" s="170">
        <v>705526.6207</v>
      </c>
      <c r="G8" s="223">
        <v>0.634990860354875</v>
      </c>
      <c r="H8" s="170">
        <v>7561.6107000000775</v>
      </c>
      <c r="I8" s="247">
        <v>-569.48</v>
      </c>
      <c r="J8" s="21">
        <v>0.0011458350100603623</v>
      </c>
      <c r="K8" s="170">
        <v>-88.4147033376259</v>
      </c>
      <c r="L8" s="170">
        <v>1576.66</v>
      </c>
      <c r="M8" s="248">
        <v>698.554507222234</v>
      </c>
      <c r="N8" s="170">
        <v>43.95684818531561</v>
      </c>
      <c r="O8" s="223">
        <v>0.02934194453071636</v>
      </c>
    </row>
    <row r="9">
      <c r="A9" s="165">
        <v>43556.0</v>
      </c>
      <c r="B9" s="170">
        <v>278126.82</v>
      </c>
      <c r="C9" s="170">
        <v>526000.0</v>
      </c>
      <c r="D9" s="170">
        <v>451580.3599999999</v>
      </c>
      <c r="E9" s="223">
        <v>0.858517794676806</v>
      </c>
      <c r="F9" s="170">
        <v>729707.1799999999</v>
      </c>
      <c r="G9" s="223">
        <v>0.6541256763454302</v>
      </c>
      <c r="H9" s="170">
        <v>24610.86699999991</v>
      </c>
      <c r="I9" s="247">
        <v>-547.92</v>
      </c>
      <c r="J9" s="21">
        <v>0.0010416730038022813</v>
      </c>
      <c r="K9" s="170">
        <v>-77.52092994068445</v>
      </c>
      <c r="L9" s="170">
        <v>973.13</v>
      </c>
      <c r="M9" s="248">
        <v>654.5976590369183</v>
      </c>
      <c r="N9" s="170">
        <v>24.938177538386526</v>
      </c>
      <c r="O9" s="223">
        <v>0.028243129909021433</v>
      </c>
    </row>
    <row r="10">
      <c r="A10" s="165">
        <v>43525.0</v>
      </c>
      <c r="B10" s="170">
        <v>253515.9530000001</v>
      </c>
      <c r="C10" s="170">
        <v>575000.0</v>
      </c>
      <c r="D10" s="170">
        <v>181420.0599999997</v>
      </c>
      <c r="E10" s="223">
        <v>0.31551314782608647</v>
      </c>
      <c r="F10" s="170">
        <v>434936.0129999998</v>
      </c>
      <c r="G10" s="223">
        <v>0.69401198361717</v>
      </c>
      <c r="H10" s="170">
        <v>6984.039000000281</v>
      </c>
      <c r="I10" s="247">
        <v>-618.92</v>
      </c>
      <c r="J10" s="21">
        <v>0.0010763826086956521</v>
      </c>
      <c r="K10" s="170">
        <v>-423.6426025474786</v>
      </c>
      <c r="L10" s="170">
        <v>0.0</v>
      </c>
      <c r="M10" s="248">
        <v>629.6594814985318</v>
      </c>
      <c r="N10" s="170">
        <v>-149.13068995430376</v>
      </c>
      <c r="O10" s="223">
        <v>0.029804490362712516</v>
      </c>
    </row>
    <row r="11">
      <c r="A11" s="165">
        <v>43497.0</v>
      </c>
      <c r="B11" s="170">
        <v>246531.91399999982</v>
      </c>
      <c r="C11" s="170">
        <v>550000.0</v>
      </c>
      <c r="D11" s="170">
        <v>490407.21999999986</v>
      </c>
      <c r="E11" s="223">
        <v>0.8916494909090906</v>
      </c>
      <c r="F11" s="170">
        <v>736939.1339999996</v>
      </c>
      <c r="G11" s="223">
        <v>0.6904933629564528</v>
      </c>
      <c r="H11" s="170">
        <v>23963.482999999775</v>
      </c>
      <c r="I11" s="247">
        <v>-534.72</v>
      </c>
      <c r="J11" s="21">
        <v>9.722181818181819E-4</v>
      </c>
      <c r="K11" s="170">
        <v>-57.937184221091066</v>
      </c>
      <c r="L11" s="170">
        <v>0.0</v>
      </c>
      <c r="M11" s="248">
        <v>778.7901714528356</v>
      </c>
      <c r="N11" s="170">
        <v>-31.46047699382291</v>
      </c>
      <c r="O11" s="223">
        <v>0.037907798247305356</v>
      </c>
    </row>
    <row r="12">
      <c r="A12" s="165">
        <v>43466.0</v>
      </c>
      <c r="B12" s="170">
        <v>222568.43100000004</v>
      </c>
      <c r="C12" s="170">
        <v>525000.0</v>
      </c>
      <c r="D12" s="170">
        <v>510286.2800000002</v>
      </c>
      <c r="E12" s="223">
        <v>0.9719738666666671</v>
      </c>
      <c r="F12" s="170">
        <v>732854.7110000002</v>
      </c>
      <c r="G12" s="223">
        <v>0.7022768461446708</v>
      </c>
      <c r="H12" s="170">
        <v>-13042.207000000053</v>
      </c>
      <c r="I12" s="247">
        <v>-565.1</v>
      </c>
      <c r="J12" s="21">
        <v>0.0010763809523809524</v>
      </c>
      <c r="K12" s="170">
        <v>-15.837567946666438</v>
      </c>
      <c r="L12" s="170">
        <v>996.28</v>
      </c>
      <c r="M12" s="248">
        <v>810.2506484466585</v>
      </c>
      <c r="N12" s="170">
        <v>-39.238697935771484</v>
      </c>
      <c r="O12" s="223">
        <v>0.043685475687968975</v>
      </c>
    </row>
    <row r="13">
      <c r="A13" s="165">
        <v>43435.0</v>
      </c>
      <c r="B13" s="170">
        <v>235610.6380000001</v>
      </c>
      <c r="C13" s="170">
        <v>531000.0</v>
      </c>
      <c r="D13" s="170">
        <v>500405.8599999999</v>
      </c>
      <c r="E13" s="223">
        <v>0.9423839171374764</v>
      </c>
      <c r="F13" s="170">
        <v>736016.498</v>
      </c>
      <c r="G13" s="223">
        <v>0.6926593157972848</v>
      </c>
      <c r="H13" s="170">
        <v>5598.940000000119</v>
      </c>
      <c r="I13" s="247">
        <v>-534.69</v>
      </c>
      <c r="J13" s="21">
        <v>0.001006949152542373</v>
      </c>
      <c r="K13" s="170">
        <v>-30.806743345762758</v>
      </c>
      <c r="L13" s="170">
        <v>4248.66</v>
      </c>
      <c r="M13" s="248">
        <v>849.48934638243</v>
      </c>
      <c r="N13" s="170">
        <v>361.7773769368219</v>
      </c>
      <c r="O13" s="223">
        <v>0.04326575507422188</v>
      </c>
    </row>
    <row r="14">
      <c r="A14" s="165">
        <v>43405.0</v>
      </c>
      <c r="B14" s="170">
        <v>230011.69799999997</v>
      </c>
      <c r="C14" s="170">
        <v>521000.0</v>
      </c>
      <c r="D14" s="170">
        <v>511442.65</v>
      </c>
      <c r="E14" s="223">
        <v>0.9816557581573897</v>
      </c>
      <c r="F14" s="170">
        <v>741454.348</v>
      </c>
      <c r="G14" s="223">
        <v>0.6937308718192563</v>
      </c>
      <c r="H14" s="170">
        <v>586.2660000001197</v>
      </c>
      <c r="I14" s="247">
        <v>-579.07</v>
      </c>
      <c r="J14" s="21">
        <v>0.0011114587332053743</v>
      </c>
      <c r="K14" s="170">
        <v>-10.622600123800346</v>
      </c>
      <c r="L14" s="170">
        <v>1458.27</v>
      </c>
      <c r="M14" s="248">
        <v>487.7119694456081</v>
      </c>
      <c r="N14" s="170">
        <v>103.10858118002</v>
      </c>
      <c r="O14" s="223">
        <v>0.025444547752294308</v>
      </c>
    </row>
    <row r="15">
      <c r="A15" s="165">
        <v>43374.0</v>
      </c>
      <c r="B15" s="170">
        <v>229425.43199999986</v>
      </c>
      <c r="C15" s="170">
        <v>515000.0</v>
      </c>
      <c r="D15" s="170">
        <v>490549.2499999999</v>
      </c>
      <c r="E15" s="223">
        <v>0.9525228155339803</v>
      </c>
      <c r="F15" s="170">
        <v>719974.6819999998</v>
      </c>
      <c r="G15" s="223">
        <v>0.6918087129511181</v>
      </c>
      <c r="H15" s="170">
        <v>-10809.279999999853</v>
      </c>
      <c r="I15" s="247">
        <v>-555.0</v>
      </c>
      <c r="J15" s="21">
        <v>7.44116504854369E-4</v>
      </c>
      <c r="K15" s="170">
        <v>-26.349837378640917</v>
      </c>
      <c r="L15" s="170">
        <v>888.6500000000001</v>
      </c>
      <c r="M15" s="248">
        <v>384.6033882655881</v>
      </c>
      <c r="N15" s="170">
        <v>11.033094240706475</v>
      </c>
      <c r="O15" s="223">
        <v>0.02011651724464034</v>
      </c>
    </row>
    <row r="16">
      <c r="A16" s="165">
        <v>43344.0</v>
      </c>
      <c r="B16" s="170">
        <v>240234.7119999997</v>
      </c>
      <c r="C16" s="170">
        <v>515000.0</v>
      </c>
      <c r="D16" s="170">
        <v>510461.7600000002</v>
      </c>
      <c r="E16" s="223">
        <v>0.991187883495146</v>
      </c>
      <c r="F16" s="170">
        <v>750696.4719999998</v>
      </c>
      <c r="G16" s="223">
        <v>0.6819072161503088</v>
      </c>
      <c r="H16" s="170">
        <v>16654.961999999592</v>
      </c>
      <c r="I16" s="247">
        <v>-501.62</v>
      </c>
      <c r="J16" s="21">
        <v>9.740194174757282E-4</v>
      </c>
      <c r="K16" s="170">
        <v>-4.420333881164877</v>
      </c>
      <c r="L16" s="170">
        <v>-12.85</v>
      </c>
      <c r="M16" s="248">
        <v>373.5702940248816</v>
      </c>
      <c r="N16" s="170">
        <v>-101.38487950222589</v>
      </c>
      <c r="O16" s="223">
        <v>0.018660265583512282</v>
      </c>
    </row>
    <row r="17">
      <c r="A17" s="165">
        <v>43313.0</v>
      </c>
      <c r="B17" s="170">
        <v>223579.75000000012</v>
      </c>
      <c r="C17" s="170">
        <v>481000.0</v>
      </c>
      <c r="D17" s="170">
        <v>513500.9900000002</v>
      </c>
      <c r="E17" s="223">
        <v>1.0675696257796263</v>
      </c>
      <c r="F17" s="170">
        <v>737080.7400000003</v>
      </c>
      <c r="G17" s="223">
        <v>0.6826764464916851</v>
      </c>
      <c r="H17" s="170">
        <v>106125.61000000013</v>
      </c>
      <c r="I17" s="247">
        <v>-573.99</v>
      </c>
      <c r="J17" s="21">
        <v>0.0011933264033264033</v>
      </c>
      <c r="K17" s="170">
        <v>-38.78428950124772</v>
      </c>
      <c r="L17" s="170">
        <v>0.0</v>
      </c>
      <c r="M17" s="248">
        <v>474.9551735271075</v>
      </c>
      <c r="N17" s="170">
        <v>136.41136317478453</v>
      </c>
      <c r="O17" s="223">
        <v>0.025491852828019024</v>
      </c>
    </row>
    <row r="18">
      <c r="A18" s="165">
        <v>43282.0</v>
      </c>
      <c r="B18" s="170">
        <v>117454.13999999998</v>
      </c>
      <c r="C18" s="170">
        <v>445000.0</v>
      </c>
      <c r="D18" s="170">
        <v>481315.0099999999</v>
      </c>
      <c r="E18" s="223">
        <v>1.0816067640449436</v>
      </c>
      <c r="F18" s="170">
        <v>598769.1499999999</v>
      </c>
      <c r="G18" s="223">
        <v>0.7911756147799001</v>
      </c>
      <c r="H18" s="170">
        <v>25703.140999999858</v>
      </c>
      <c r="I18" s="247">
        <v>-467.55</v>
      </c>
      <c r="J18" s="21">
        <v>0.0010506741573033708</v>
      </c>
      <c r="K18" s="170">
        <v>-38.15524252921338</v>
      </c>
      <c r="L18" s="170">
        <v>428.28999999999996</v>
      </c>
      <c r="M18" s="248">
        <v>338.54381035232296</v>
      </c>
      <c r="N18" s="170">
        <v>39.16936874345595</v>
      </c>
      <c r="O18" s="223">
        <v>0.034588186710386506</v>
      </c>
    </row>
    <row r="19">
      <c r="A19" s="165">
        <v>43252.0</v>
      </c>
      <c r="B19" s="170">
        <v>91750.99900000013</v>
      </c>
      <c r="C19" s="170">
        <v>255000.0</v>
      </c>
      <c r="D19" s="170">
        <v>253749.46</v>
      </c>
      <c r="E19" s="223">
        <v>0.9950959215686275</v>
      </c>
      <c r="F19" s="170">
        <v>345500.45900000015</v>
      </c>
      <c r="G19" s="223">
        <v>0.735398025486294</v>
      </c>
      <c r="H19" s="170">
        <v>9998.81029979643</v>
      </c>
      <c r="I19" s="247">
        <v>-276.19</v>
      </c>
      <c r="J19" s="21">
        <v>0.0010830980392156863</v>
      </c>
      <c r="K19" s="170">
        <v>-1.3544574219607783</v>
      </c>
      <c r="L19" s="170">
        <v>2086.06</v>
      </c>
      <c r="M19" s="248">
        <v>299.374441608867</v>
      </c>
      <c r="N19" s="170">
        <v>169.4418097557286</v>
      </c>
      <c r="O19" s="223">
        <v>0.039154813990705424</v>
      </c>
    </row>
    <row r="20">
      <c r="A20" s="165">
        <v>43221.0</v>
      </c>
      <c r="B20" s="170">
        <v>81752.1887002037</v>
      </c>
      <c r="C20" s="170">
        <v>150000.0</v>
      </c>
      <c r="D20" s="170">
        <v>149093.2699999999</v>
      </c>
      <c r="E20" s="223">
        <v>0.9939551333333326</v>
      </c>
      <c r="F20" s="170">
        <v>230845.4587002036</v>
      </c>
      <c r="G20" s="223">
        <v>0.6472430782262906</v>
      </c>
      <c r="H20" s="170">
        <v>4941.733385851621</v>
      </c>
      <c r="I20" s="247">
        <v>-161.46</v>
      </c>
      <c r="J20" s="21">
        <v>0.0010764000000000001</v>
      </c>
      <c r="K20" s="170">
        <v>-0.9760041720001136</v>
      </c>
      <c r="L20" s="170">
        <v>445.59000000000003</v>
      </c>
      <c r="M20" s="248">
        <v>129.93263185313842</v>
      </c>
      <c r="N20" s="170">
        <v>29.641658835478907</v>
      </c>
      <c r="O20" s="223">
        <v>0.01907216928412066</v>
      </c>
    </row>
    <row r="21">
      <c r="A21" s="165">
        <v>43191.0</v>
      </c>
      <c r="B21" s="170">
        <v>76810.45531435208</v>
      </c>
      <c r="C21" s="170">
        <v>140000.0</v>
      </c>
      <c r="D21" s="170">
        <v>106128.28999999996</v>
      </c>
      <c r="E21" s="223">
        <v>0.758059214285714</v>
      </c>
      <c r="F21" s="170">
        <v>182938.74531435204</v>
      </c>
      <c r="G21" s="223">
        <v>0.6457253170610011</v>
      </c>
      <c r="H21" s="170">
        <v>-3355.0085972254456</v>
      </c>
      <c r="I21" s="247">
        <v>-140.97</v>
      </c>
      <c r="J21" s="21">
        <v>0.0010069285714285714</v>
      </c>
      <c r="K21" s="170">
        <v>-34.1063925621429</v>
      </c>
      <c r="L21" s="170">
        <v>385.02</v>
      </c>
      <c r="M21" s="248">
        <v>100.29097301765951</v>
      </c>
      <c r="N21" s="170">
        <v>6.757312735939394</v>
      </c>
      <c r="O21" s="223">
        <v>0.01566833149584313</v>
      </c>
    </row>
    <row r="22">
      <c r="A22" s="165">
        <v>43160.0</v>
      </c>
      <c r="B22" s="170">
        <v>80165.46391157752</v>
      </c>
      <c r="C22" s="170">
        <v>140000.0</v>
      </c>
      <c r="D22" s="170">
        <v>139322.5099999999</v>
      </c>
      <c r="E22" s="223">
        <v>0.9951607857142849</v>
      </c>
      <c r="F22" s="170">
        <v>219487.97391157743</v>
      </c>
      <c r="G22" s="223">
        <v>0.6358853814430521</v>
      </c>
      <c r="H22" s="170">
        <v>-3316.0003145138617</v>
      </c>
      <c r="I22" s="247">
        <v>-155.56</v>
      </c>
      <c r="J22" s="21">
        <v>0.0011111428571428572</v>
      </c>
      <c r="K22" s="170">
        <v>-0.7527881742858408</v>
      </c>
      <c r="L22" s="170">
        <v>507.89</v>
      </c>
      <c r="M22" s="248">
        <v>93.53366028172012</v>
      </c>
      <c r="N22" s="170">
        <v>25.88861077412382</v>
      </c>
      <c r="O22" s="223">
        <v>0.014001090602040956</v>
      </c>
    </row>
    <row r="23">
      <c r="A23" s="165">
        <v>43132.0</v>
      </c>
      <c r="B23" s="170">
        <v>83481.46422609138</v>
      </c>
      <c r="C23" s="170">
        <v>171000.0</v>
      </c>
      <c r="D23" s="170">
        <v>139674.86999999988</v>
      </c>
      <c r="E23" s="223">
        <v>0.8168121052631572</v>
      </c>
      <c r="F23" s="170">
        <v>223156.33422609128</v>
      </c>
      <c r="G23" s="223">
        <v>0.6719546373250856</v>
      </c>
      <c r="H23" s="170">
        <v>-7937.993257490409</v>
      </c>
      <c r="I23" s="247">
        <v>-166.36</v>
      </c>
      <c r="J23" s="21">
        <v>9.728654970760235E-4</v>
      </c>
      <c r="K23" s="170">
        <v>-30.475138168421175</v>
      </c>
      <c r="L23" s="170">
        <v>37.550000000000004</v>
      </c>
      <c r="M23" s="248">
        <v>67.6450495075963</v>
      </c>
      <c r="N23" s="170">
        <v>-23.48630094977358</v>
      </c>
      <c r="O23" s="223">
        <v>0.009723602737641649</v>
      </c>
    </row>
    <row r="24">
      <c r="A24" s="165">
        <v>43101.0</v>
      </c>
      <c r="B24" s="170">
        <v>91419.45748358179</v>
      </c>
      <c r="C24" s="170">
        <v>180000.0</v>
      </c>
      <c r="D24" s="170">
        <v>171150.3899999999</v>
      </c>
      <c r="E24" s="223">
        <v>0.9508354999999994</v>
      </c>
      <c r="F24" s="170">
        <v>262569.8474835817</v>
      </c>
      <c r="G24" s="223">
        <v>0.6631801627961335</v>
      </c>
      <c r="H24" s="170">
        <v>-569.8778013779956</v>
      </c>
      <c r="I24" s="247">
        <v>-193.75</v>
      </c>
      <c r="J24" s="21">
        <v>0.0010763888888888889</v>
      </c>
      <c r="K24" s="170">
        <v>-9.525621875000118</v>
      </c>
      <c r="L24" s="170">
        <v>85.16999999999999</v>
      </c>
      <c r="M24" s="248">
        <v>91.13135045736988</v>
      </c>
      <c r="N24" s="170">
        <v>-44.17935677393484</v>
      </c>
      <c r="O24" s="223">
        <v>0.011962182182986988</v>
      </c>
    </row>
    <row r="25">
      <c r="A25" s="165">
        <v>43070.0</v>
      </c>
      <c r="B25" s="170">
        <v>91989.33528495979</v>
      </c>
      <c r="C25" s="170">
        <v>118000.0</v>
      </c>
      <c r="D25" s="170">
        <v>117273.76000000004</v>
      </c>
      <c r="E25" s="223">
        <v>0.9938454237288139</v>
      </c>
      <c r="F25" s="170">
        <v>209263.09528495983</v>
      </c>
      <c r="G25" s="223">
        <v>0.5619332993262329</v>
      </c>
      <c r="H25" s="170">
        <v>-1203.1568040735438</v>
      </c>
      <c r="I25" s="247">
        <v>-127.19</v>
      </c>
      <c r="J25" s="21">
        <v>0.0010778813559322034</v>
      </c>
      <c r="K25" s="170">
        <v>-0.7828005559321596</v>
      </c>
      <c r="L25" s="170">
        <v>890.63</v>
      </c>
      <c r="M25" s="248">
        <v>135.31070723130472</v>
      </c>
      <c r="N25" s="170">
        <v>68.2190821444013</v>
      </c>
      <c r="O25" s="223">
        <v>0.017651268831824416</v>
      </c>
    </row>
    <row r="26">
      <c r="A26" s="165">
        <v>43040.0</v>
      </c>
      <c r="B26" s="170">
        <v>93192.49208903333</v>
      </c>
      <c r="C26" s="170">
        <v>98000.0</v>
      </c>
      <c r="D26" s="170">
        <v>88088.05000000003</v>
      </c>
      <c r="E26" s="223">
        <v>0.8988576530612248</v>
      </c>
      <c r="F26" s="170">
        <v>181280.54208903335</v>
      </c>
      <c r="G26" s="223">
        <v>0.5125724285991522</v>
      </c>
      <c r="H26" s="170">
        <v>7479.570738638591</v>
      </c>
      <c r="I26" s="247">
        <v>-102.08</v>
      </c>
      <c r="J26" s="21">
        <v>0.0010416326530612245</v>
      </c>
      <c r="K26" s="170">
        <v>-10.324610775510173</v>
      </c>
      <c r="L26" s="170">
        <v>24.61</v>
      </c>
      <c r="M26" s="248">
        <v>67.09162508690342</v>
      </c>
      <c r="N26" s="170">
        <v>-7.621545532261365</v>
      </c>
      <c r="O26" s="223">
        <v>0.008639102603605373</v>
      </c>
    </row>
    <row r="27">
      <c r="A27" s="165">
        <v>43009.0</v>
      </c>
      <c r="B27" s="170">
        <v>85712.92135039474</v>
      </c>
      <c r="C27" s="170">
        <v>90000.0</v>
      </c>
      <c r="D27" s="170">
        <v>89894.66999999997</v>
      </c>
      <c r="E27" s="223">
        <v>0.9988296666666663</v>
      </c>
      <c r="F27" s="170">
        <v>175607.5913503947</v>
      </c>
      <c r="G27" s="223">
        <v>0.5121990990095039</v>
      </c>
      <c r="H27" s="170">
        <v>-1532.674455779852</v>
      </c>
      <c r="I27" s="247">
        <v>-93.75</v>
      </c>
      <c r="J27" s="21">
        <v>0.0042580000000000005</v>
      </c>
      <c r="K27" s="170">
        <v>-0.109718750000036</v>
      </c>
      <c r="L27" s="170">
        <v>482.99</v>
      </c>
      <c r="M27" s="248">
        <v>74.71317061916479</v>
      </c>
      <c r="N27" s="170">
        <v>54.662023619352965</v>
      </c>
      <c r="O27" s="223">
        <v>0.010460010384721864</v>
      </c>
    </row>
    <row r="28">
      <c r="A28" s="165">
        <v>42979.0</v>
      </c>
      <c r="B28" s="170">
        <v>87245.59580617459</v>
      </c>
      <c r="C28" s="170">
        <v>80000.0</v>
      </c>
      <c r="D28" s="170">
        <v>79910.19000000002</v>
      </c>
      <c r="E28" s="223">
        <v>0.9988773750000002</v>
      </c>
      <c r="F28" s="170">
        <v>167155.78580617462</v>
      </c>
      <c r="G28" s="223">
        <v>0.47833845557711513</v>
      </c>
      <c r="H28" s="170">
        <v>2519.836545972925</v>
      </c>
      <c r="I28" s="247">
        <v>-86.11</v>
      </c>
      <c r="J28" s="21">
        <v>0.001076375</v>
      </c>
      <c r="K28" s="170">
        <v>-0.09666923874998465</v>
      </c>
      <c r="L28" s="170">
        <v>19.49</v>
      </c>
      <c r="M28" s="248">
        <v>20.051146999811817</v>
      </c>
      <c r="N28" s="170">
        <v>-24.103920763757056</v>
      </c>
      <c r="O28" s="223">
        <v>0.0027578900891718472</v>
      </c>
    </row>
    <row r="29">
      <c r="A29" s="165">
        <v>42948.0</v>
      </c>
      <c r="B29" s="170">
        <v>84725.75926020167</v>
      </c>
      <c r="C29" s="170">
        <v>73300.0</v>
      </c>
      <c r="D29" s="170">
        <v>73187.71</v>
      </c>
      <c r="E29" s="223">
        <v>0.998468076398363</v>
      </c>
      <c r="F29" s="170">
        <v>157913.46926020167</v>
      </c>
      <c r="G29" s="223">
        <v>0.46384842789652964</v>
      </c>
      <c r="H29" s="170">
        <v>26315.59626020158</v>
      </c>
      <c r="I29" s="247">
        <v>-78.9</v>
      </c>
      <c r="J29" s="21">
        <v>0.0010763983628922238</v>
      </c>
      <c r="K29" s="170">
        <v>-0.12086877216915999</v>
      </c>
      <c r="L29" s="170">
        <v>17.77</v>
      </c>
      <c r="M29" s="248">
        <v>44.15506776356887</v>
      </c>
      <c r="N29" s="170">
        <v>6.187886284605959</v>
      </c>
      <c r="O29" s="223">
        <v>0.00625383375480376</v>
      </c>
    </row>
    <row r="30">
      <c r="A30" s="165">
        <v>42917.0</v>
      </c>
      <c r="B30" s="170">
        <v>58410.16300000009</v>
      </c>
      <c r="C30" s="170">
        <v>66200.0</v>
      </c>
      <c r="D30" s="170">
        <v>66214.43000000001</v>
      </c>
      <c r="E30" s="223">
        <v>1.0002179758308158</v>
      </c>
      <c r="F30" s="170">
        <v>124624.5930000001</v>
      </c>
      <c r="G30" s="223">
        <v>0.5312568285461592</v>
      </c>
      <c r="H30" s="170">
        <v>3867.2690000000584</v>
      </c>
      <c r="I30" s="247">
        <v>-66.68</v>
      </c>
      <c r="J30" s="21">
        <v>0.0010072507552870093</v>
      </c>
      <c r="K30" s="170">
        <v>-0.01453462839880034</v>
      </c>
      <c r="L30" s="170">
        <v>240.32</v>
      </c>
      <c r="M30" s="248">
        <v>37.967181478962914</v>
      </c>
      <c r="N30" s="170">
        <v>16.854885129518596</v>
      </c>
      <c r="O30" s="223">
        <v>0.007800118238799544</v>
      </c>
    </row>
    <row r="31">
      <c r="A31" s="165">
        <v>42887.0</v>
      </c>
      <c r="B31" s="170">
        <v>54542.89400000003</v>
      </c>
      <c r="C31" s="170">
        <v>49800.0</v>
      </c>
      <c r="D31" s="170">
        <v>49486.669999999925</v>
      </c>
      <c r="E31" s="223">
        <v>0.9937082329317254</v>
      </c>
      <c r="F31" s="170">
        <v>104029.56399999995</v>
      </c>
      <c r="G31" s="223">
        <v>0.47727255868521323</v>
      </c>
      <c r="H31" s="170">
        <v>3290.1631250000282</v>
      </c>
      <c r="I31" s="247">
        <v>-55.33</v>
      </c>
      <c r="J31" s="21">
        <v>0.0011110441767068272</v>
      </c>
      <c r="K31" s="170">
        <v>-0.34812347188763426</v>
      </c>
      <c r="L31" s="170">
        <v>121.37</v>
      </c>
      <c r="M31" s="248">
        <v>21.112296349444318</v>
      </c>
      <c r="N31" s="170">
        <v>-0.695471798801254</v>
      </c>
      <c r="O31" s="223">
        <v>0.0046449232450579475</v>
      </c>
    </row>
    <row r="32">
      <c r="A32" s="165">
        <v>42856.0</v>
      </c>
      <c r="B32" s="170">
        <v>51252.730875</v>
      </c>
      <c r="C32" s="170">
        <v>28500.0</v>
      </c>
      <c r="D32" s="170">
        <v>28468.129999999943</v>
      </c>
      <c r="E32" s="223">
        <v>0.9988817543859629</v>
      </c>
      <c r="F32" s="170">
        <v>79720.86087499994</v>
      </c>
      <c r="G32" s="223">
        <v>0.35735453428760094</v>
      </c>
      <c r="H32" s="170">
        <v>-1237.7421250000043</v>
      </c>
      <c r="I32" s="247">
        <v>-30.68</v>
      </c>
      <c r="J32" s="21">
        <v>0.0010764912280701753</v>
      </c>
      <c r="K32" s="170">
        <v>-0.03430777543865703</v>
      </c>
      <c r="L32" s="170">
        <v>0.0</v>
      </c>
      <c r="M32" s="248">
        <v>21.80776814824557</v>
      </c>
      <c r="N32" s="170">
        <v>-3.510328074983306</v>
      </c>
      <c r="O32" s="223">
        <v>0.005105937055670048</v>
      </c>
    </row>
    <row r="33">
      <c r="A33" s="165">
        <v>42826.0</v>
      </c>
      <c r="B33" s="170">
        <v>52490.473000000005</v>
      </c>
      <c r="C33" s="170">
        <v>0.0</v>
      </c>
      <c r="D33" s="170">
        <v>0.0</v>
      </c>
      <c r="E33" s="223">
        <v>0.0</v>
      </c>
      <c r="F33" s="170">
        <v>52490.473000000005</v>
      </c>
      <c r="G33" s="223">
        <v>0.0</v>
      </c>
      <c r="H33" s="170">
        <v>-766.5879999999961</v>
      </c>
      <c r="I33" s="247">
        <v>0.0</v>
      </c>
      <c r="J33" s="21">
        <v>0.0</v>
      </c>
      <c r="K33" s="170">
        <v>0.0</v>
      </c>
      <c r="L33" s="170">
        <v>91.22</v>
      </c>
      <c r="M33" s="248">
        <v>25.318096223228878</v>
      </c>
      <c r="N33" s="170">
        <v>6.3616044672487035</v>
      </c>
      <c r="O33" s="223">
        <v>0.0057880437594598644</v>
      </c>
    </row>
    <row r="34">
      <c r="A34" s="165">
        <v>42795.0</v>
      </c>
      <c r="B34" s="170">
        <v>53257.061</v>
      </c>
      <c r="C34" s="170">
        <v>0.0</v>
      </c>
      <c r="D34" s="170">
        <v>0.0</v>
      </c>
      <c r="E34" s="223">
        <v>0.0</v>
      </c>
      <c r="F34" s="170">
        <v>53257.061</v>
      </c>
      <c r="G34" s="223">
        <v>0.0</v>
      </c>
      <c r="H34" s="170">
        <v>1799.2290000000066</v>
      </c>
      <c r="I34" s="247">
        <v>0.0</v>
      </c>
      <c r="J34" s="21">
        <v>0.0</v>
      </c>
      <c r="K34" s="170">
        <v>0.0</v>
      </c>
      <c r="L34" s="170">
        <v>4.5</v>
      </c>
      <c r="M34" s="248">
        <v>18.956491755980174</v>
      </c>
      <c r="N34" s="170">
        <v>-4.910079897358791</v>
      </c>
      <c r="O34" s="223">
        <v>0.004271319085215049</v>
      </c>
    </row>
    <row r="35">
      <c r="A35" s="165">
        <v>42767.0</v>
      </c>
      <c r="B35" s="170">
        <v>51457.831999999995</v>
      </c>
      <c r="C35" s="170">
        <v>0.0</v>
      </c>
      <c r="D35" s="170">
        <v>0.0</v>
      </c>
      <c r="E35" s="223">
        <v>0.0</v>
      </c>
      <c r="F35" s="170">
        <v>51457.831999999995</v>
      </c>
      <c r="G35" s="223">
        <v>0.0</v>
      </c>
      <c r="H35" s="170">
        <v>432.7940000000017</v>
      </c>
      <c r="I35" s="247">
        <v>0.0</v>
      </c>
      <c r="J35" s="21">
        <v>0.0</v>
      </c>
      <c r="K35" s="170">
        <v>0.0</v>
      </c>
      <c r="L35" s="170">
        <v>4.87</v>
      </c>
      <c r="M35" s="248">
        <v>23.866571653338966</v>
      </c>
      <c r="N35" s="170">
        <v>0.05069955170908358</v>
      </c>
      <c r="O35" s="223">
        <v>0.005565700083129573</v>
      </c>
    </row>
    <row r="36">
      <c r="A36" s="165">
        <v>42736.0</v>
      </c>
      <c r="B36" s="170">
        <v>51025.03799999999</v>
      </c>
      <c r="C36" s="170">
        <v>0.0</v>
      </c>
      <c r="D36" s="170">
        <v>0.0</v>
      </c>
      <c r="E36" s="223">
        <v>0.0</v>
      </c>
      <c r="F36" s="170">
        <v>51025.03799999999</v>
      </c>
      <c r="G36" s="223">
        <v>0.0</v>
      </c>
      <c r="H36" s="170">
        <v>-256.3440000000046</v>
      </c>
      <c r="I36" s="247">
        <v>0.0</v>
      </c>
      <c r="J36" s="21">
        <v>0.0</v>
      </c>
      <c r="K36" s="170">
        <v>0.0</v>
      </c>
      <c r="L36" s="170">
        <v>237.85999999999999</v>
      </c>
      <c r="M36" s="248">
        <v>23.815872101629882</v>
      </c>
      <c r="N36" s="170">
        <v>4.098931307627716</v>
      </c>
      <c r="O36" s="223">
        <v>0.005600984858052602</v>
      </c>
    </row>
    <row r="37">
      <c r="A37" s="165">
        <v>42705.0</v>
      </c>
      <c r="B37" s="170">
        <v>51281.382</v>
      </c>
      <c r="C37" s="170">
        <v>0.0</v>
      </c>
      <c r="D37" s="170">
        <v>0.0</v>
      </c>
      <c r="E37" s="223">
        <v>0.0</v>
      </c>
      <c r="F37" s="170">
        <v>51281.382</v>
      </c>
      <c r="G37" s="223">
        <v>0.0</v>
      </c>
      <c r="H37" s="170">
        <v>-1186.020000000004</v>
      </c>
      <c r="I37" s="247">
        <v>0.0</v>
      </c>
      <c r="J37" s="21">
        <v>0.0</v>
      </c>
      <c r="K37" s="170">
        <v>0.0</v>
      </c>
      <c r="L37" s="170">
        <v>121.82999999999998</v>
      </c>
      <c r="M37" s="248">
        <v>19.716940794002166</v>
      </c>
      <c r="N37" s="170">
        <v>9.66592479287338</v>
      </c>
      <c r="O37" s="223">
        <v>0.004613824360818241</v>
      </c>
    </row>
    <row r="38">
      <c r="A38" s="165">
        <v>42675.0</v>
      </c>
      <c r="B38" s="170">
        <v>52467.402</v>
      </c>
      <c r="C38" s="170">
        <v>0.0</v>
      </c>
      <c r="D38" s="170">
        <v>0.0</v>
      </c>
      <c r="E38" s="223">
        <v>0.0</v>
      </c>
      <c r="F38" s="170">
        <v>52467.402</v>
      </c>
      <c r="G38" s="223">
        <v>0.0</v>
      </c>
      <c r="H38" s="170">
        <v>-346.91399999999703</v>
      </c>
      <c r="I38" s="247">
        <v>0.0</v>
      </c>
      <c r="J38" s="21">
        <v>0.0</v>
      </c>
      <c r="K38" s="170">
        <v>0.0</v>
      </c>
      <c r="L38" s="170">
        <v>4.57</v>
      </c>
      <c r="M38" s="248">
        <v>10.051016001128787</v>
      </c>
      <c r="N38" s="170">
        <v>-0.22174968170966558</v>
      </c>
      <c r="O38" s="223">
        <v>0.002298802445250585</v>
      </c>
    </row>
    <row r="39">
      <c r="A39" s="165">
        <v>42644.0</v>
      </c>
      <c r="B39" s="170">
        <v>52814.316</v>
      </c>
      <c r="C39" s="170">
        <v>0.0</v>
      </c>
      <c r="D39" s="170">
        <v>0.0</v>
      </c>
      <c r="E39" s="223">
        <v>0.0</v>
      </c>
      <c r="F39" s="170">
        <v>52814.316</v>
      </c>
      <c r="G39" s="223">
        <v>0.0</v>
      </c>
      <c r="H39" s="170">
        <v>-21.364000000001397</v>
      </c>
      <c r="I39" s="247">
        <v>0.0</v>
      </c>
      <c r="J39" s="21">
        <v>0.0</v>
      </c>
      <c r="K39" s="170">
        <v>0.0</v>
      </c>
      <c r="L39" s="170">
        <v>4.4</v>
      </c>
      <c r="M39" s="248">
        <v>10.272765682838452</v>
      </c>
      <c r="N39" s="170">
        <v>-38.8159870387003</v>
      </c>
      <c r="O39" s="223">
        <v>0.002334086617614463</v>
      </c>
    </row>
    <row r="40">
      <c r="A40" s="165">
        <v>42614.0</v>
      </c>
      <c r="B40" s="170">
        <v>52835.68</v>
      </c>
      <c r="C40" s="170">
        <v>0.0</v>
      </c>
      <c r="D40" s="170">
        <v>0.0</v>
      </c>
      <c r="E40" s="223">
        <v>0.0</v>
      </c>
      <c r="F40" s="170">
        <v>52835.68</v>
      </c>
      <c r="G40" s="223">
        <v>0.0</v>
      </c>
      <c r="H40" s="170">
        <v>-1027.4040000000023</v>
      </c>
      <c r="I40" s="247">
        <v>0.0</v>
      </c>
      <c r="J40" s="21">
        <v>0.0</v>
      </c>
      <c r="K40" s="170">
        <v>0.0</v>
      </c>
      <c r="L40" s="170">
        <v>119.66</v>
      </c>
      <c r="M40" s="248">
        <v>49.088752721538754</v>
      </c>
      <c r="N40" s="170">
        <v>7.016943095509902</v>
      </c>
      <c r="O40" s="223">
        <v>0.011149000687763743</v>
      </c>
    </row>
    <row r="41">
      <c r="A41" s="165">
        <v>42583.0</v>
      </c>
      <c r="B41" s="170">
        <v>53863.084</v>
      </c>
      <c r="C41" s="170">
        <v>0.0</v>
      </c>
      <c r="D41" s="170">
        <v>0.0</v>
      </c>
      <c r="E41" s="223">
        <v>0.0</v>
      </c>
      <c r="F41" s="170">
        <v>53863.084</v>
      </c>
      <c r="G41" s="223">
        <v>0.0</v>
      </c>
      <c r="H41" s="170">
        <v>552.8280000000013</v>
      </c>
      <c r="I41" s="247">
        <v>0.0</v>
      </c>
      <c r="J41" s="21">
        <v>0.0</v>
      </c>
      <c r="K41" s="170">
        <v>0.0</v>
      </c>
      <c r="L41" s="170">
        <v>4.7</v>
      </c>
      <c r="M41" s="248">
        <v>42.07180962602885</v>
      </c>
      <c r="N41" s="170">
        <v>-4.278295163866055</v>
      </c>
      <c r="O41" s="223">
        <v>0.009373056238524073</v>
      </c>
    </row>
    <row r="42">
      <c r="A42" s="165">
        <v>42552.0</v>
      </c>
      <c r="B42" s="170">
        <v>53310.256</v>
      </c>
      <c r="C42" s="170">
        <v>0.0</v>
      </c>
      <c r="D42" s="170">
        <v>0.0</v>
      </c>
      <c r="E42" s="223">
        <v>0.0</v>
      </c>
      <c r="F42" s="170">
        <v>53310.256</v>
      </c>
      <c r="G42" s="223">
        <v>0.0</v>
      </c>
      <c r="H42" s="170">
        <v>3200.3299999999945</v>
      </c>
      <c r="I42" s="247">
        <v>0.0</v>
      </c>
      <c r="J42" s="21">
        <v>0.0</v>
      </c>
      <c r="K42" s="170">
        <v>0.0</v>
      </c>
      <c r="L42" s="170">
        <v>4.69</v>
      </c>
      <c r="M42" s="248">
        <v>46.35010478989491</v>
      </c>
      <c r="N42" s="170">
        <v>-2.8876382472081232</v>
      </c>
      <c r="O42" s="223">
        <v>0.010433288061470552</v>
      </c>
    </row>
    <row r="43">
      <c r="A43" s="165">
        <v>42522.0</v>
      </c>
      <c r="B43" s="170">
        <v>50109.92600000001</v>
      </c>
      <c r="C43" s="170">
        <v>0.0</v>
      </c>
      <c r="D43" s="170">
        <v>0.0</v>
      </c>
      <c r="E43" s="223">
        <v>0.0</v>
      </c>
      <c r="F43" s="170">
        <v>50109.92600000001</v>
      </c>
      <c r="G43" s="223">
        <v>0.0</v>
      </c>
      <c r="H43" s="170">
        <v>-598.3259999999937</v>
      </c>
      <c r="I43" s="247">
        <v>0.0</v>
      </c>
      <c r="J43" s="21">
        <v>0.0</v>
      </c>
      <c r="K43" s="170">
        <v>0.0</v>
      </c>
      <c r="L43" s="170">
        <v>88.38</v>
      </c>
      <c r="M43" s="248">
        <v>49.23774303710303</v>
      </c>
      <c r="N43" s="170">
        <v>5.623153611292757</v>
      </c>
      <c r="O43" s="223">
        <v>0.011791135282164182</v>
      </c>
    </row>
    <row r="44">
      <c r="A44" s="165">
        <v>42491.0</v>
      </c>
      <c r="B44" s="170">
        <v>50708.252</v>
      </c>
      <c r="C44" s="170">
        <v>0.0</v>
      </c>
      <c r="D44" s="170">
        <v>0.0</v>
      </c>
      <c r="E44" s="223">
        <v>0.0</v>
      </c>
      <c r="F44" s="170">
        <v>50708.252</v>
      </c>
      <c r="G44" s="223">
        <v>0.0</v>
      </c>
      <c r="H44" s="170">
        <v>4020.5869999999995</v>
      </c>
      <c r="I44" s="247">
        <v>0.0</v>
      </c>
      <c r="J44" s="21">
        <v>0.0</v>
      </c>
      <c r="K44" s="170">
        <v>0.0</v>
      </c>
      <c r="L44" s="170">
        <v>4.65</v>
      </c>
      <c r="M44" s="248">
        <v>43.61458942581027</v>
      </c>
      <c r="N44" s="170">
        <v>-3.308175802259697</v>
      </c>
      <c r="O44" s="223">
        <v>0.010321299837149252</v>
      </c>
    </row>
    <row r="45">
      <c r="A45" s="165">
        <v>42461.0</v>
      </c>
      <c r="B45" s="170">
        <v>46687.665</v>
      </c>
      <c r="C45" s="170">
        <v>0.0</v>
      </c>
      <c r="D45" s="170">
        <v>0.0</v>
      </c>
      <c r="E45" s="223">
        <v>0.0</v>
      </c>
      <c r="F45" s="170">
        <v>46687.665</v>
      </c>
      <c r="G45" s="223">
        <v>0.0</v>
      </c>
      <c r="H45" s="170">
        <v>-2048.7599999999948</v>
      </c>
      <c r="I45" s="247">
        <v>0.0</v>
      </c>
      <c r="J45" s="21">
        <v>0.0</v>
      </c>
      <c r="K45" s="170">
        <v>0.0</v>
      </c>
      <c r="L45" s="170">
        <v>4.08</v>
      </c>
      <c r="M45" s="248">
        <v>46.92276522806997</v>
      </c>
      <c r="N45" s="170">
        <v>-11.457363905142266</v>
      </c>
      <c r="O45" s="223">
        <v>0.012060427154299528</v>
      </c>
    </row>
    <row r="46">
      <c r="A46" s="165">
        <v>42430.0</v>
      </c>
      <c r="B46" s="170">
        <v>48736.424999999996</v>
      </c>
      <c r="C46" s="170">
        <v>0.0</v>
      </c>
      <c r="D46" s="170">
        <v>0.0</v>
      </c>
      <c r="E46" s="223">
        <v>0.0</v>
      </c>
      <c r="F46" s="170">
        <v>48736.424999999996</v>
      </c>
      <c r="G46" s="223">
        <v>0.0</v>
      </c>
      <c r="H46" s="170">
        <v>3190.1649999999936</v>
      </c>
      <c r="I46" s="247">
        <v>0.0</v>
      </c>
      <c r="J46" s="21">
        <v>0.0</v>
      </c>
      <c r="K46" s="170">
        <v>0.0</v>
      </c>
      <c r="L46" s="170">
        <v>69.26</v>
      </c>
      <c r="M46" s="248">
        <v>58.380129133212236</v>
      </c>
      <c r="N46" s="170">
        <v>6.678660224283462</v>
      </c>
      <c r="O46" s="223">
        <v>0.014374496069388489</v>
      </c>
    </row>
    <row r="47">
      <c r="A47" s="165">
        <v>42401.0</v>
      </c>
      <c r="B47" s="170">
        <v>45546.26</v>
      </c>
      <c r="C47" s="170">
        <v>0.0</v>
      </c>
      <c r="D47" s="170">
        <v>0.0</v>
      </c>
      <c r="E47" s="223">
        <v>0.0</v>
      </c>
      <c r="F47" s="170">
        <v>45546.26</v>
      </c>
      <c r="G47" s="223">
        <v>0.0</v>
      </c>
      <c r="H47" s="170">
        <v>1777.3550000000105</v>
      </c>
      <c r="I47" s="247">
        <v>0.0</v>
      </c>
      <c r="J47" s="21">
        <v>0.0</v>
      </c>
      <c r="K47" s="170">
        <v>0.0</v>
      </c>
      <c r="L47" s="170">
        <v>3.92</v>
      </c>
      <c r="M47" s="248">
        <v>51.701468908928774</v>
      </c>
      <c r="N47" s="170">
        <v>-14.33565394432874</v>
      </c>
      <c r="O47" s="223">
        <v>0.013621703009361148</v>
      </c>
    </row>
    <row r="48">
      <c r="A48" s="165">
        <v>42370.0</v>
      </c>
      <c r="B48" s="170">
        <v>43768.90499999999</v>
      </c>
      <c r="C48" s="170">
        <v>0.0</v>
      </c>
      <c r="D48" s="170">
        <v>0.0</v>
      </c>
      <c r="E48" s="223">
        <v>0.0</v>
      </c>
      <c r="F48" s="170">
        <v>43768.90499999999</v>
      </c>
      <c r="G48" s="223">
        <v>0.0</v>
      </c>
      <c r="H48" s="170">
        <v>673.0409999999902</v>
      </c>
      <c r="I48" s="247">
        <v>0.0</v>
      </c>
      <c r="J48" s="21">
        <v>0.0</v>
      </c>
      <c r="K48" s="170">
        <v>0.0</v>
      </c>
      <c r="L48" s="170">
        <v>184.98</v>
      </c>
      <c r="M48" s="248">
        <v>66.03712285325751</v>
      </c>
      <c r="N48" s="170">
        <v>61.84111525744686</v>
      </c>
      <c r="O48" s="223">
        <v>0.01810521588874774</v>
      </c>
    </row>
    <row r="49">
      <c r="A49" s="165">
        <v>42339.0</v>
      </c>
      <c r="B49" s="170">
        <v>43095.864</v>
      </c>
      <c r="C49" s="170">
        <v>0.0</v>
      </c>
      <c r="D49" s="170">
        <v>0.0</v>
      </c>
      <c r="E49" s="223">
        <v>0.0</v>
      </c>
      <c r="F49" s="170">
        <v>43095.864</v>
      </c>
      <c r="G49" s="223">
        <v>0.0</v>
      </c>
      <c r="H49" s="170">
        <v>2074.8339999999953</v>
      </c>
      <c r="I49" s="247">
        <v>0.0</v>
      </c>
      <c r="J49" s="21">
        <v>0.0</v>
      </c>
      <c r="K49" s="170">
        <v>0.0</v>
      </c>
      <c r="L49" s="170">
        <v>4.1</v>
      </c>
      <c r="M49" s="248">
        <v>4.196007595810658</v>
      </c>
      <c r="N49" s="170">
        <v>0.10600759581065855</v>
      </c>
      <c r="O49" s="223">
        <v>0.001168374096171454</v>
      </c>
    </row>
    <row r="50">
      <c r="A50" s="165">
        <v>42309.0</v>
      </c>
      <c r="B50" s="170">
        <v>41021.030000000006</v>
      </c>
      <c r="C50" s="170">
        <v>0.0</v>
      </c>
      <c r="D50" s="170">
        <v>0.0</v>
      </c>
      <c r="E50" s="223">
        <v>0.0</v>
      </c>
      <c r="F50" s="170">
        <v>41021.030000000006</v>
      </c>
      <c r="G50" s="223">
        <v>0.0</v>
      </c>
      <c r="H50" s="170">
        <v>41021.030000000006</v>
      </c>
      <c r="I50" s="247">
        <v>0.0</v>
      </c>
      <c r="J50" s="21">
        <v>0.0</v>
      </c>
      <c r="K50" s="170">
        <v>0.0</v>
      </c>
      <c r="L50" s="170">
        <v>4.09</v>
      </c>
      <c r="M50" s="248">
        <v>4.09</v>
      </c>
      <c r="N50" s="170">
        <v>4.09</v>
      </c>
      <c r="O50" s="223">
        <v>0.0011964594745670694</v>
      </c>
    </row>
  </sheetData>
  <conditionalFormatting sqref="K1:K50">
    <cfRule type="expression" dxfId="13" priority="1">
      <formula>K1=""</formula>
    </cfRule>
  </conditionalFormatting>
  <conditionalFormatting sqref="I1:I50">
    <cfRule type="expression" dxfId="13" priority="2">
      <formula>J1=""</formula>
    </cfRule>
  </conditionalFormatting>
  <conditionalFormatting sqref="B1:D50 F1:F50 L1:M50">
    <cfRule type="expression" dxfId="12" priority="3">
      <formula>B1=MAX(B:B)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57"/>
  </cols>
  <sheetData>
    <row r="1" ht="14.25" customHeight="1">
      <c r="A1" s="249" t="s">
        <v>2</v>
      </c>
      <c r="B1" s="249" t="s">
        <v>7</v>
      </c>
    </row>
    <row r="2" ht="14.25" customHeight="1">
      <c r="A2" s="250">
        <v>43770.0</v>
      </c>
      <c r="B2" s="251">
        <f>SUMIFS(ExpensesHistoric!$C:$C,ExpensesHistoric!$D:$D,"X",ExpensesHistoric!A:A,"&gt;"&amp;EOMONTH(A2,-1)+1,ExpensesHistoric!A:A,"&lt;="&amp;EOMONTH(A2,0))</f>
        <v>-40</v>
      </c>
    </row>
    <row r="3" ht="14.25" customHeight="1">
      <c r="A3" s="250">
        <v>43739.0</v>
      </c>
      <c r="B3" s="251">
        <v>-294.39</v>
      </c>
    </row>
    <row r="4" ht="14.25" customHeight="1">
      <c r="A4" s="250">
        <v>43709.0</v>
      </c>
      <c r="B4" s="251">
        <v>-90.1</v>
      </c>
    </row>
    <row r="5" ht="14.25" customHeight="1">
      <c r="A5" s="250">
        <v>43678.0</v>
      </c>
      <c r="B5" s="251">
        <v>-121.03</v>
      </c>
    </row>
    <row r="6" ht="14.25" customHeight="1">
      <c r="A6" s="250">
        <v>43647.0</v>
      </c>
      <c r="B6" s="251">
        <v>-167.86</v>
      </c>
    </row>
    <row r="7" ht="14.25" customHeight="1">
      <c r="A7" s="250">
        <v>43617.0</v>
      </c>
      <c r="B7" s="251">
        <v>-208.07</v>
      </c>
    </row>
    <row r="8" ht="14.25" customHeight="1">
      <c r="A8" s="250">
        <v>43586.0</v>
      </c>
      <c r="B8" s="251">
        <v>-86.88</v>
      </c>
    </row>
    <row r="9" ht="14.25" customHeight="1">
      <c r="A9" s="250">
        <v>43556.0</v>
      </c>
      <c r="B9" s="251">
        <v>-48.15</v>
      </c>
    </row>
    <row r="10" ht="14.25" customHeight="1">
      <c r="A10" s="250">
        <v>43525.0</v>
      </c>
      <c r="B10" s="251">
        <v>-117.82</v>
      </c>
    </row>
    <row r="11" ht="14.25" customHeight="1">
      <c r="A11" s="250">
        <v>43497.0</v>
      </c>
      <c r="B11" s="251">
        <v>-55.1</v>
      </c>
    </row>
    <row r="12" ht="14.25" customHeight="1">
      <c r="A12" s="250">
        <v>43466.0</v>
      </c>
      <c r="B12" s="251">
        <v>-36.76</v>
      </c>
    </row>
    <row r="13" ht="14.25" customHeight="1">
      <c r="A13" s="250">
        <v>43435.0</v>
      </c>
      <c r="B13" s="251">
        <v>-325.25</v>
      </c>
    </row>
    <row r="14" ht="14.25" customHeight="1">
      <c r="A14" s="250">
        <v>43405.0</v>
      </c>
      <c r="B14" s="251">
        <v>-133.55</v>
      </c>
    </row>
    <row r="15" ht="14.25" customHeight="1">
      <c r="A15" s="250">
        <v>43374.0</v>
      </c>
      <c r="B15" s="251">
        <v>-141.35</v>
      </c>
    </row>
    <row r="16" ht="14.25" customHeight="1">
      <c r="A16" s="250">
        <v>43344.0</v>
      </c>
      <c r="B16" s="251">
        <v>-71.35</v>
      </c>
    </row>
    <row r="17" ht="14.25" customHeight="1">
      <c r="A17" s="250">
        <v>43313.0</v>
      </c>
      <c r="B17" s="251">
        <v>-707.3299999999995</v>
      </c>
    </row>
    <row r="18" ht="14.25" customHeight="1">
      <c r="A18" s="250">
        <v>43282.0</v>
      </c>
      <c r="B18" s="251">
        <v>0.0</v>
      </c>
    </row>
    <row r="19" ht="14.25" customHeight="1">
      <c r="A19" s="250">
        <v>43252.0</v>
      </c>
      <c r="B19" s="251">
        <v>-894.53</v>
      </c>
    </row>
    <row r="20" ht="14.25" customHeight="1">
      <c r="A20" s="250">
        <v>43221.0</v>
      </c>
      <c r="B20" s="251">
        <v>-119.68</v>
      </c>
    </row>
    <row r="21" ht="14.25" customHeight="1">
      <c r="A21" s="250">
        <v>43191.0</v>
      </c>
      <c r="B21" s="251">
        <v>-5.2</v>
      </c>
    </row>
    <row r="22" ht="14.25" customHeight="1">
      <c r="A22" s="250">
        <v>43160.0</v>
      </c>
      <c r="B22" s="251">
        <v>-119.54</v>
      </c>
    </row>
    <row r="23" ht="14.25" customHeight="1">
      <c r="A23" s="250">
        <v>43132.0</v>
      </c>
      <c r="B23" s="251">
        <v>-11.649999999999999</v>
      </c>
    </row>
    <row r="24" ht="14.25" customHeight="1">
      <c r="A24" s="250">
        <v>43102.0</v>
      </c>
      <c r="B24" s="251">
        <v>-110.64999999999999</v>
      </c>
    </row>
    <row r="25" ht="14.25" customHeight="1">
      <c r="A25" s="250">
        <v>43070.0</v>
      </c>
      <c r="B25" s="251">
        <v>-155.72</v>
      </c>
    </row>
    <row r="26" ht="14.25" customHeight="1">
      <c r="A26" s="250">
        <v>43040.0</v>
      </c>
      <c r="B26" s="251">
        <v>-130.35</v>
      </c>
    </row>
    <row r="27" ht="14.25" customHeight="1">
      <c r="A27" s="250">
        <v>43009.0</v>
      </c>
      <c r="B27" s="251">
        <v>-289.12</v>
      </c>
    </row>
    <row r="28" ht="14.25" customHeight="1">
      <c r="A28" s="250">
        <v>42979.0</v>
      </c>
      <c r="B28" s="251">
        <v>-215.58</v>
      </c>
    </row>
    <row r="29" ht="14.25" customHeight="1">
      <c r="A29" s="250">
        <v>42948.0</v>
      </c>
      <c r="B29" s="251">
        <v>-170.27</v>
      </c>
    </row>
    <row r="30" ht="14.25" customHeight="1">
      <c r="A30" s="250">
        <v>42917.0</v>
      </c>
      <c r="B30" s="251">
        <v>-464.82</v>
      </c>
    </row>
    <row r="31" ht="14.25" customHeight="1">
      <c r="A31" s="250">
        <v>42887.0</v>
      </c>
      <c r="B31" s="251">
        <v>-168.35</v>
      </c>
    </row>
    <row r="32" ht="14.25" customHeight="1">
      <c r="A32" s="250">
        <v>42856.0</v>
      </c>
      <c r="B32" s="251">
        <v>-886.75</v>
      </c>
    </row>
    <row r="33" ht="14.25" customHeight="1">
      <c r="A33" s="250">
        <v>42826.0</v>
      </c>
      <c r="B33" s="251">
        <v>-373.54</v>
      </c>
    </row>
    <row r="34" ht="14.25" customHeight="1">
      <c r="A34" s="250">
        <v>42795.0</v>
      </c>
      <c r="B34" s="251">
        <v>-55.23</v>
      </c>
    </row>
    <row r="35" ht="14.25" customHeight="1">
      <c r="A35" s="250">
        <v>42767.0</v>
      </c>
      <c r="B35" s="251">
        <v>-82.39</v>
      </c>
    </row>
    <row r="36" ht="14.25" customHeight="1">
      <c r="A36" s="250">
        <v>42736.0</v>
      </c>
      <c r="B36" s="251">
        <v>-426.11</v>
      </c>
    </row>
    <row r="37" ht="14.25" customHeight="1">
      <c r="A37" s="250">
        <v>42705.0</v>
      </c>
      <c r="B37" s="251">
        <v>-388.92</v>
      </c>
    </row>
    <row r="38" ht="14.25" customHeight="1">
      <c r="A38" s="250">
        <v>42675.0</v>
      </c>
      <c r="B38" s="251">
        <v>-1063.55</v>
      </c>
    </row>
    <row r="39" ht="14.25" customHeight="1">
      <c r="A39" s="250">
        <v>42644.0</v>
      </c>
      <c r="B39" s="251">
        <v>0.0</v>
      </c>
    </row>
    <row r="40" ht="14.25" customHeight="1">
      <c r="A40" s="250">
        <v>42614.0</v>
      </c>
      <c r="B40" s="251">
        <v>-47.18</v>
      </c>
    </row>
    <row r="41" ht="14.25" customHeight="1">
      <c r="A41" s="250">
        <v>42583.0</v>
      </c>
      <c r="B41" s="251">
        <v>-1438.72</v>
      </c>
    </row>
    <row r="42" ht="14.25" customHeight="1">
      <c r="A42" s="250">
        <v>42552.0</v>
      </c>
      <c r="B42" s="251">
        <v>-208.78</v>
      </c>
    </row>
    <row r="43" ht="14.25" customHeight="1">
      <c r="A43" s="250">
        <v>42522.0</v>
      </c>
      <c r="B43" s="251">
        <v>-83.03</v>
      </c>
    </row>
    <row r="44" ht="14.25" customHeight="1">
      <c r="A44" s="250">
        <v>42491.0</v>
      </c>
      <c r="B44" s="251">
        <v>-20.0</v>
      </c>
    </row>
    <row r="45" ht="14.25" customHeight="1">
      <c r="A45" s="250">
        <v>42461.0</v>
      </c>
      <c r="B45" s="251">
        <v>0.0</v>
      </c>
    </row>
    <row r="46" ht="14.25" customHeight="1">
      <c r="A46" s="250">
        <v>42430.0</v>
      </c>
      <c r="B46" s="251">
        <v>0.0</v>
      </c>
    </row>
    <row r="47" ht="14.25" customHeight="1">
      <c r="A47" s="250">
        <v>42401.0</v>
      </c>
      <c r="B47" s="251">
        <v>-138.03</v>
      </c>
    </row>
    <row r="48" ht="14.25" customHeight="1">
      <c r="A48" s="250">
        <v>42370.0</v>
      </c>
      <c r="B48" s="251">
        <v>-101.8</v>
      </c>
    </row>
    <row r="49" ht="14.25" customHeight="1">
      <c r="A49" s="250">
        <v>42339.0</v>
      </c>
      <c r="B49" s="251">
        <v>-265.03</v>
      </c>
    </row>
    <row r="50" ht="14.25" customHeight="1">
      <c r="A50" s="250">
        <v>42309.0</v>
      </c>
      <c r="B50" s="251">
        <v>-28.97</v>
      </c>
    </row>
    <row r="51" ht="14.25" customHeight="1">
      <c r="A51" s="250">
        <v>42278.0</v>
      </c>
      <c r="B51" s="251">
        <v>-160.67</v>
      </c>
    </row>
    <row r="52" ht="14.25" customHeight="1">
      <c r="A52" s="250">
        <v>42248.0</v>
      </c>
      <c r="B52" s="251">
        <v>-1401.46</v>
      </c>
    </row>
    <row r="53" ht="14.25" customHeight="1">
      <c r="A53" s="250">
        <v>42217.0</v>
      </c>
      <c r="B53" s="251">
        <v>-529.05</v>
      </c>
    </row>
    <row r="54" ht="14.25" customHeight="1">
      <c r="A54" s="250">
        <v>42186.0</v>
      </c>
      <c r="B54" s="251">
        <v>-0.12</v>
      </c>
    </row>
    <row r="55" ht="14.25" customHeight="1">
      <c r="A55" s="250">
        <v>42156.0</v>
      </c>
      <c r="B55" s="251">
        <v>-175.55</v>
      </c>
    </row>
    <row r="56" ht="14.25" customHeight="1">
      <c r="A56" s="250">
        <v>42125.0</v>
      </c>
      <c r="B56" s="251">
        <v>0.0</v>
      </c>
    </row>
    <row r="57" ht="14.25" customHeight="1">
      <c r="A57" s="250">
        <v>42095.0</v>
      </c>
      <c r="B57" s="251">
        <v>-10.14</v>
      </c>
    </row>
    <row r="58" ht="14.25" customHeight="1">
      <c r="A58" s="250">
        <v>42064.0</v>
      </c>
      <c r="B58" s="251">
        <v>-10.35</v>
      </c>
    </row>
    <row r="59" ht="14.25" customHeight="1">
      <c r="A59" s="250">
        <v>42036.0</v>
      </c>
      <c r="B59" s="251">
        <v>-751.92</v>
      </c>
    </row>
    <row r="60" ht="14.25" customHeight="1">
      <c r="A60" s="250">
        <v>42005.0</v>
      </c>
      <c r="B60" s="251">
        <v>-104.37</v>
      </c>
    </row>
    <row r="61" ht="14.25" customHeight="1">
      <c r="A61" s="250">
        <v>41974.0</v>
      </c>
      <c r="B61" s="251">
        <v>-206.93</v>
      </c>
    </row>
    <row r="62" ht="14.25" customHeight="1">
      <c r="A62" s="250">
        <v>41944.0</v>
      </c>
      <c r="B62" s="251">
        <v>-54.97</v>
      </c>
    </row>
    <row r="63" ht="14.25" customHeight="1">
      <c r="A63" s="250">
        <v>41913.0</v>
      </c>
      <c r="B63" s="251">
        <v>-294.43</v>
      </c>
    </row>
    <row r="64" ht="14.25" customHeight="1">
      <c r="A64" s="250">
        <v>41883.0</v>
      </c>
      <c r="B64" s="251">
        <v>-139.02</v>
      </c>
    </row>
    <row r="65" ht="14.25" customHeight="1">
      <c r="A65" s="250">
        <v>41852.0</v>
      </c>
      <c r="B65" s="251">
        <v>-355.78</v>
      </c>
    </row>
    <row r="66" ht="14.25" customHeight="1">
      <c r="A66" s="250">
        <v>41821.0</v>
      </c>
      <c r="B66" s="251">
        <v>-790.07</v>
      </c>
    </row>
    <row r="67" ht="14.25" customHeight="1">
      <c r="A67" s="250">
        <v>41791.0</v>
      </c>
      <c r="B67" s="251">
        <v>0.0</v>
      </c>
    </row>
    <row r="68" ht="14.25" customHeight="1">
      <c r="A68" s="250">
        <v>41760.0</v>
      </c>
      <c r="B68" s="251">
        <v>-91.39</v>
      </c>
    </row>
    <row r="69" ht="14.25" customHeight="1">
      <c r="A69" s="250">
        <v>41730.0</v>
      </c>
      <c r="B69" s="251">
        <v>-92.22</v>
      </c>
    </row>
    <row r="70" ht="14.25" customHeight="1">
      <c r="A70" s="250">
        <v>41699.0</v>
      </c>
      <c r="B70" s="251">
        <v>-1004.53</v>
      </c>
    </row>
    <row r="71" ht="14.25" customHeight="1">
      <c r="A71" s="250">
        <v>41671.0</v>
      </c>
      <c r="B71" s="251">
        <v>-319.47</v>
      </c>
    </row>
    <row r="72" ht="14.25" customHeight="1">
      <c r="A72" s="250">
        <v>41640.0</v>
      </c>
      <c r="B72" s="251">
        <v>-391.4</v>
      </c>
    </row>
    <row r="73" ht="14.25" customHeight="1">
      <c r="A73" s="250">
        <v>41609.0</v>
      </c>
      <c r="B73" s="251">
        <v>-779.28</v>
      </c>
    </row>
    <row r="74" ht="14.25" customHeight="1">
      <c r="A74" s="250">
        <v>41579.0</v>
      </c>
      <c r="B74" s="251">
        <v>-1480.97</v>
      </c>
    </row>
    <row r="75" ht="14.25" customHeight="1">
      <c r="A75" s="250">
        <v>41548.0</v>
      </c>
      <c r="B75" s="251">
        <v>-1153.18</v>
      </c>
    </row>
    <row r="76" ht="14.25" customHeight="1">
      <c r="A76" s="250">
        <v>41518.0</v>
      </c>
      <c r="B76" s="251">
        <v>-763.3</v>
      </c>
    </row>
    <row r="77" ht="14.25" customHeight="1">
      <c r="A77" s="250">
        <v>41487.0</v>
      </c>
      <c r="B77" s="251">
        <v>-196.0</v>
      </c>
    </row>
    <row r="78" ht="14.25" customHeight="1">
      <c r="A78" s="250">
        <v>41456.0</v>
      </c>
      <c r="B78" s="251">
        <v>-11.08</v>
      </c>
    </row>
    <row r="79" ht="14.25" customHeight="1">
      <c r="A79" s="250">
        <v>41426.0</v>
      </c>
      <c r="B79" s="251">
        <v>-4.0</v>
      </c>
    </row>
    <row r="80" ht="14.25" customHeight="1">
      <c r="A80" s="250">
        <v>41395.0</v>
      </c>
      <c r="B80" s="251">
        <v>-656.55</v>
      </c>
    </row>
    <row r="81" ht="14.25" customHeight="1">
      <c r="A81" s="250">
        <v>41365.0</v>
      </c>
      <c r="B81" s="251">
        <v>-3.82</v>
      </c>
    </row>
    <row r="82" ht="14.25" customHeight="1">
      <c r="A82" s="250">
        <v>41334.0</v>
      </c>
      <c r="B82" s="251">
        <v>-368.45</v>
      </c>
    </row>
    <row r="83" ht="14.25" customHeight="1">
      <c r="A83" s="250">
        <v>41306.0</v>
      </c>
      <c r="B83" s="251">
        <v>-39.94</v>
      </c>
    </row>
    <row r="84" ht="14.25" customHeight="1">
      <c r="A84" s="250">
        <v>41275.0</v>
      </c>
      <c r="B84" s="251">
        <v>-218.99</v>
      </c>
    </row>
    <row r="85" ht="14.25" customHeight="1">
      <c r="A85" s="250">
        <v>41244.0</v>
      </c>
      <c r="B85" s="251">
        <v>-253.57</v>
      </c>
    </row>
    <row r="86" ht="14.25" customHeight="1">
      <c r="A86" s="250">
        <v>41214.0</v>
      </c>
      <c r="B86" s="251">
        <v>-107.54</v>
      </c>
    </row>
    <row r="87" ht="14.25" customHeight="1">
      <c r="A87" s="250">
        <v>41183.0</v>
      </c>
      <c r="B87" s="251">
        <v>-251.19</v>
      </c>
    </row>
    <row r="88" ht="14.25" customHeight="1">
      <c r="A88" s="250">
        <v>41153.0</v>
      </c>
      <c r="B88" s="251">
        <v>-4682.23</v>
      </c>
    </row>
    <row r="89" ht="14.25" customHeight="1">
      <c r="A89" s="250">
        <v>41122.0</v>
      </c>
      <c r="B89" s="251">
        <v>-1634.47</v>
      </c>
    </row>
    <row r="90" ht="14.25" customHeight="1">
      <c r="A90" s="250">
        <v>41091.0</v>
      </c>
      <c r="B90" s="251">
        <v>-821.51</v>
      </c>
    </row>
    <row r="91" ht="14.25" customHeight="1">
      <c r="A91" s="250">
        <v>41061.0</v>
      </c>
      <c r="B91" s="251">
        <v>-820.3</v>
      </c>
    </row>
    <row r="92" ht="14.25" customHeight="1">
      <c r="A92" s="250">
        <v>41030.0</v>
      </c>
      <c r="B92" s="251">
        <v>-828.56</v>
      </c>
    </row>
    <row r="93" ht="14.25" customHeight="1">
      <c r="A93" s="250">
        <v>41000.0</v>
      </c>
      <c r="B93" s="251">
        <v>-1189.53</v>
      </c>
    </row>
    <row r="94" ht="14.25" customHeight="1">
      <c r="A94" s="250">
        <v>40969.0</v>
      </c>
      <c r="B94" s="251">
        <v>-1202.78</v>
      </c>
    </row>
    <row r="95" ht="14.25" customHeight="1">
      <c r="A95" s="250">
        <v>40940.0</v>
      </c>
      <c r="B95" s="251">
        <v>-394.05</v>
      </c>
    </row>
    <row r="96" ht="14.25" customHeight="1">
      <c r="A96" s="250">
        <v>40909.0</v>
      </c>
      <c r="B96" s="251">
        <v>-711.03</v>
      </c>
    </row>
    <row r="97" ht="14.25" customHeight="1">
      <c r="A97" s="250">
        <v>40878.0</v>
      </c>
      <c r="B97" s="251">
        <v>-689.47</v>
      </c>
    </row>
    <row r="98" ht="14.25" customHeight="1">
      <c r="A98" s="250">
        <v>40848.0</v>
      </c>
      <c r="B98" s="251">
        <v>-727.7</v>
      </c>
    </row>
    <row r="99" ht="14.25" customHeight="1">
      <c r="A99" s="250">
        <v>40817.0</v>
      </c>
      <c r="B99" s="251">
        <v>-702.17</v>
      </c>
    </row>
    <row r="100" ht="14.25" customHeight="1">
      <c r="A100" s="250">
        <v>40787.0</v>
      </c>
      <c r="B100" s="251">
        <v>-1013.39</v>
      </c>
    </row>
    <row r="101" ht="14.25" customHeight="1">
      <c r="A101" s="250">
        <v>40756.0</v>
      </c>
      <c r="B101" s="251">
        <v>-661.63</v>
      </c>
    </row>
    <row r="102" ht="14.25" customHeight="1">
      <c r="A102" s="250">
        <v>40725.0</v>
      </c>
      <c r="B102" s="251">
        <v>-287.66</v>
      </c>
    </row>
    <row r="103" ht="14.25" customHeight="1">
      <c r="A103" s="250">
        <v>40695.0</v>
      </c>
      <c r="B103" s="251">
        <v>-579.82</v>
      </c>
    </row>
    <row r="104" ht="14.25" customHeight="1">
      <c r="A104" s="250">
        <v>40664.0</v>
      </c>
      <c r="B104" s="251">
        <v>-754.81</v>
      </c>
    </row>
    <row r="105" ht="14.25" customHeight="1">
      <c r="A105" s="250">
        <v>40634.0</v>
      </c>
      <c r="B105" s="251">
        <v>-414.14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47.0"/>
    <col customWidth="1" min="3" max="3" width="12.57"/>
    <col customWidth="1" min="4" max="4" width="13.71"/>
  </cols>
  <sheetData>
    <row r="1" ht="14.25" customHeight="1">
      <c r="A1" s="249" t="s">
        <v>2</v>
      </c>
      <c r="B1" s="249" t="s">
        <v>61</v>
      </c>
      <c r="C1" s="252" t="s">
        <v>65</v>
      </c>
      <c r="D1" s="249" t="s">
        <v>379</v>
      </c>
    </row>
    <row r="2">
      <c r="A2" s="253">
        <v>43775.0</v>
      </c>
      <c r="B2" s="254" t="s">
        <v>380</v>
      </c>
      <c r="C2" s="255">
        <v>-40.0</v>
      </c>
      <c r="D2" s="170" t="str">
        <f t="shared" ref="D2:D9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253">
        <v>43775.0</v>
      </c>
      <c r="B3" s="254" t="s">
        <v>382</v>
      </c>
      <c r="C3" s="255">
        <v>100.0</v>
      </c>
      <c r="D3" s="170" t="str">
        <f t="shared" si="1"/>
        <v/>
      </c>
    </row>
    <row r="4">
      <c r="A4" s="253">
        <v>43775.0</v>
      </c>
      <c r="B4" s="254" t="s">
        <v>383</v>
      </c>
      <c r="C4" s="255">
        <v>-13600.0</v>
      </c>
      <c r="D4" s="170" t="str">
        <f t="shared" si="1"/>
        <v/>
      </c>
    </row>
    <row r="5">
      <c r="A5" s="253">
        <v>43774.0</v>
      </c>
      <c r="B5" s="254" t="s">
        <v>384</v>
      </c>
      <c r="C5" s="255">
        <v>13700.0</v>
      </c>
      <c r="D5" s="170" t="str">
        <f t="shared" si="1"/>
        <v/>
      </c>
    </row>
    <row r="6">
      <c r="A6" s="253">
        <v>43774.0</v>
      </c>
      <c r="B6" s="254" t="s">
        <v>385</v>
      </c>
      <c r="C6" s="255">
        <v>-918.56</v>
      </c>
      <c r="D6" s="170" t="str">
        <f t="shared" si="1"/>
        <v/>
      </c>
    </row>
    <row r="7">
      <c r="A7" s="253">
        <v>43774.0</v>
      </c>
      <c r="B7" s="254" t="s">
        <v>386</v>
      </c>
      <c r="C7" s="255">
        <v>207.0</v>
      </c>
      <c r="D7" s="170" t="str">
        <f t="shared" si="1"/>
        <v/>
      </c>
    </row>
    <row r="8">
      <c r="A8" s="253">
        <v>43773.0</v>
      </c>
      <c r="B8" s="254" t="s">
        <v>387</v>
      </c>
      <c r="C8" s="255">
        <v>518.94</v>
      </c>
      <c r="D8" s="170" t="str">
        <f t="shared" si="1"/>
        <v/>
      </c>
    </row>
    <row r="9">
      <c r="A9" s="253">
        <v>43759.0</v>
      </c>
      <c r="B9" s="254" t="s">
        <v>388</v>
      </c>
      <c r="C9" s="255">
        <v>-5.55</v>
      </c>
      <c r="D9" s="170" t="str">
        <f t="shared" si="1"/>
        <v>X</v>
      </c>
    </row>
    <row r="10">
      <c r="A10" s="253">
        <v>43756.0</v>
      </c>
      <c r="B10" s="254" t="s">
        <v>383</v>
      </c>
      <c r="C10" s="255">
        <v>-150.0</v>
      </c>
      <c r="D10" s="170"/>
    </row>
    <row r="11">
      <c r="A11" s="253">
        <v>43755.0</v>
      </c>
      <c r="B11" s="254" t="s">
        <v>384</v>
      </c>
      <c r="C11" s="255">
        <v>200.0</v>
      </c>
      <c r="D11" s="170"/>
    </row>
    <row r="12">
      <c r="A12" s="253">
        <v>43753.0</v>
      </c>
      <c r="B12" s="254" t="s">
        <v>389</v>
      </c>
      <c r="C12" s="255">
        <v>-50.0</v>
      </c>
      <c r="D12" s="170" t="s">
        <v>288</v>
      </c>
    </row>
    <row r="13">
      <c r="A13" s="253">
        <v>43748.0</v>
      </c>
      <c r="B13" s="254" t="s">
        <v>390</v>
      </c>
      <c r="C13" s="255">
        <v>-144.89</v>
      </c>
      <c r="D13" s="170" t="s">
        <v>288</v>
      </c>
    </row>
    <row r="14">
      <c r="A14" s="253">
        <v>43747.0</v>
      </c>
      <c r="B14" s="254" t="s">
        <v>387</v>
      </c>
      <c r="C14" s="255">
        <v>502.2</v>
      </c>
      <c r="D14" s="170"/>
    </row>
    <row r="15">
      <c r="A15" s="253">
        <v>43746.0</v>
      </c>
      <c r="B15" s="254" t="s">
        <v>382</v>
      </c>
      <c r="C15" s="255">
        <v>100.0</v>
      </c>
      <c r="D15" s="170"/>
    </row>
    <row r="16">
      <c r="A16" s="253">
        <v>43745.0</v>
      </c>
      <c r="B16" s="254" t="s">
        <v>391</v>
      </c>
      <c r="C16" s="255">
        <v>-20.0</v>
      </c>
      <c r="D16" s="170" t="s">
        <v>288</v>
      </c>
    </row>
    <row r="17">
      <c r="A17" s="253">
        <v>43745.0</v>
      </c>
      <c r="B17" s="254" t="s">
        <v>392</v>
      </c>
      <c r="C17" s="255">
        <v>-25.0</v>
      </c>
      <c r="D17" s="170" t="s">
        <v>288</v>
      </c>
    </row>
    <row r="18">
      <c r="A18" s="253">
        <v>43745.0</v>
      </c>
      <c r="B18" s="254" t="s">
        <v>393</v>
      </c>
      <c r="C18" s="255">
        <v>-23.0</v>
      </c>
      <c r="D18" s="170" t="s">
        <v>288</v>
      </c>
    </row>
    <row r="19">
      <c r="A19" s="253">
        <v>43745.0</v>
      </c>
      <c r="B19" s="254" t="s">
        <v>394</v>
      </c>
      <c r="C19" s="255">
        <v>-25.8</v>
      </c>
      <c r="D19" s="170" t="s">
        <v>288</v>
      </c>
    </row>
    <row r="20">
      <c r="A20" s="253">
        <v>43745.0</v>
      </c>
      <c r="B20" s="254" t="s">
        <v>384</v>
      </c>
      <c r="C20" s="255">
        <v>400.0</v>
      </c>
      <c r="D20" s="170"/>
    </row>
    <row r="21">
      <c r="A21" s="253">
        <v>43745.0</v>
      </c>
      <c r="B21" s="254" t="s">
        <v>395</v>
      </c>
      <c r="C21" s="255">
        <v>-0.15</v>
      </c>
      <c r="D21" s="170" t="s">
        <v>288</v>
      </c>
    </row>
    <row r="22">
      <c r="A22" s="253">
        <v>43745.0</v>
      </c>
      <c r="B22" s="254" t="s">
        <v>385</v>
      </c>
      <c r="C22" s="255">
        <v>-903.45</v>
      </c>
      <c r="D22" s="170"/>
    </row>
    <row r="23">
      <c r="A23" s="253">
        <v>43742.0</v>
      </c>
      <c r="B23" s="254" t="s">
        <v>386</v>
      </c>
      <c r="C23" s="255">
        <v>207.0</v>
      </c>
      <c r="D23" s="170"/>
    </row>
    <row r="24">
      <c r="A24" s="253">
        <v>43738.0</v>
      </c>
      <c r="B24" s="254" t="s">
        <v>396</v>
      </c>
      <c r="C24" s="255">
        <v>-35.0</v>
      </c>
      <c r="D24" s="170" t="s">
        <v>288</v>
      </c>
    </row>
    <row r="25">
      <c r="A25" s="253">
        <v>43720.0</v>
      </c>
      <c r="B25" s="254" t="s">
        <v>397</v>
      </c>
      <c r="C25" s="255">
        <v>-55.0</v>
      </c>
      <c r="D25" s="170" t="s">
        <v>288</v>
      </c>
    </row>
    <row r="26">
      <c r="A26" s="165">
        <v>43719.0</v>
      </c>
      <c r="B26" s="256" t="s">
        <v>384</v>
      </c>
      <c r="C26" s="170">
        <v>100.0</v>
      </c>
      <c r="D26" s="170"/>
    </row>
    <row r="27">
      <c r="A27" s="253">
        <v>43719.0</v>
      </c>
      <c r="B27" s="254" t="s">
        <v>384</v>
      </c>
      <c r="C27" s="255">
        <v>300.0</v>
      </c>
      <c r="D27" s="170"/>
    </row>
    <row r="28">
      <c r="A28" s="253">
        <v>43719.0</v>
      </c>
      <c r="B28" s="254" t="s">
        <v>384</v>
      </c>
      <c r="C28" s="255">
        <v>0.1</v>
      </c>
      <c r="D28" s="170"/>
    </row>
    <row r="29">
      <c r="A29" s="253">
        <v>43718.0</v>
      </c>
      <c r="B29" s="254" t="s">
        <v>398</v>
      </c>
      <c r="C29" s="255">
        <v>-340.6</v>
      </c>
      <c r="D29" s="170"/>
    </row>
    <row r="30">
      <c r="A30" s="253">
        <v>43717.0</v>
      </c>
      <c r="B30" s="254" t="s">
        <v>384</v>
      </c>
      <c r="C30" s="255">
        <v>100.0</v>
      </c>
      <c r="D30" s="170"/>
    </row>
    <row r="31">
      <c r="A31" s="253">
        <v>43713.0</v>
      </c>
      <c r="B31" s="254" t="s">
        <v>385</v>
      </c>
      <c r="C31" s="255">
        <v>-903.45</v>
      </c>
      <c r="D31" s="170"/>
    </row>
    <row r="32">
      <c r="A32" s="253">
        <v>43713.0</v>
      </c>
      <c r="B32" s="254" t="s">
        <v>386</v>
      </c>
      <c r="C32" s="255">
        <v>207.0</v>
      </c>
      <c r="D32" s="170"/>
    </row>
    <row r="33">
      <c r="A33" s="253">
        <v>43712.0</v>
      </c>
      <c r="B33" s="254" t="s">
        <v>399</v>
      </c>
      <c r="C33" s="255">
        <v>-0.1</v>
      </c>
      <c r="D33" s="170" t="s">
        <v>288</v>
      </c>
    </row>
    <row r="34">
      <c r="A34" s="253">
        <v>43710.0</v>
      </c>
      <c r="B34" s="254" t="s">
        <v>387</v>
      </c>
      <c r="C34" s="255">
        <v>518.94</v>
      </c>
      <c r="D34" s="170"/>
    </row>
    <row r="35">
      <c r="A35" s="253">
        <v>43706.0</v>
      </c>
      <c r="B35" s="254" t="s">
        <v>383</v>
      </c>
      <c r="C35" s="255">
        <v>-1000.0</v>
      </c>
      <c r="D35" s="170"/>
    </row>
    <row r="36">
      <c r="A36" s="253">
        <v>43705.0</v>
      </c>
      <c r="B36" s="254" t="s">
        <v>384</v>
      </c>
      <c r="C36" s="255">
        <v>1000.0</v>
      </c>
      <c r="D36" s="170"/>
    </row>
    <row r="37">
      <c r="A37" s="253">
        <v>43691.0</v>
      </c>
      <c r="B37" s="254" t="s">
        <v>400</v>
      </c>
      <c r="C37" s="255">
        <v>-21.03</v>
      </c>
      <c r="D37" s="170" t="s">
        <v>288</v>
      </c>
    </row>
    <row r="38">
      <c r="A38" s="253">
        <v>43690.0</v>
      </c>
      <c r="B38" s="254" t="s">
        <v>401</v>
      </c>
      <c r="C38" s="255">
        <v>25.0</v>
      </c>
      <c r="D38" s="170"/>
    </row>
    <row r="39">
      <c r="A39" s="253">
        <v>43689.0</v>
      </c>
      <c r="B39" s="254" t="s">
        <v>402</v>
      </c>
      <c r="C39" s="255">
        <v>-25.0</v>
      </c>
      <c r="D39" s="170"/>
    </row>
    <row r="40">
      <c r="A40" s="253">
        <v>43689.0</v>
      </c>
      <c r="B40" s="254" t="s">
        <v>398</v>
      </c>
      <c r="C40" s="255">
        <v>-340.6</v>
      </c>
      <c r="D40" s="170"/>
    </row>
    <row r="41">
      <c r="A41" s="253">
        <v>43686.0</v>
      </c>
      <c r="B41" s="254" t="s">
        <v>403</v>
      </c>
      <c r="C41" s="255">
        <v>-100.0</v>
      </c>
      <c r="D41" s="170" t="s">
        <v>288</v>
      </c>
    </row>
    <row r="42">
      <c r="A42" s="253">
        <v>43684.0</v>
      </c>
      <c r="B42" s="254" t="s">
        <v>384</v>
      </c>
      <c r="C42" s="255">
        <v>400.0</v>
      </c>
      <c r="D42" s="170"/>
    </row>
    <row r="43">
      <c r="A43" s="253">
        <v>43683.0</v>
      </c>
      <c r="B43" s="254" t="s">
        <v>382</v>
      </c>
      <c r="C43" s="255">
        <v>100.0</v>
      </c>
      <c r="D43" s="170"/>
    </row>
    <row r="44">
      <c r="A44" s="253">
        <v>43682.0</v>
      </c>
      <c r="B44" s="254" t="s">
        <v>385</v>
      </c>
      <c r="C44" s="255">
        <v>-903.45</v>
      </c>
      <c r="D44" s="170"/>
    </row>
    <row r="45">
      <c r="A45" s="253">
        <v>43682.0</v>
      </c>
      <c r="B45" s="254" t="s">
        <v>386</v>
      </c>
      <c r="C45" s="255">
        <v>207.0</v>
      </c>
      <c r="D45" s="170"/>
    </row>
    <row r="46">
      <c r="A46" s="253">
        <v>43678.0</v>
      </c>
      <c r="B46" s="254" t="s">
        <v>387</v>
      </c>
      <c r="C46" s="255">
        <v>518.94</v>
      </c>
      <c r="D46" s="170"/>
    </row>
    <row r="47">
      <c r="A47" s="253">
        <v>43675.0</v>
      </c>
      <c r="B47" s="254" t="s">
        <v>404</v>
      </c>
      <c r="C47" s="255">
        <v>-52.87</v>
      </c>
      <c r="D47" s="170" t="s">
        <v>288</v>
      </c>
    </row>
    <row r="48">
      <c r="A48" s="253">
        <v>43675.0</v>
      </c>
      <c r="B48" s="254" t="s">
        <v>405</v>
      </c>
      <c r="C48" s="255">
        <v>-4.1</v>
      </c>
      <c r="D48" s="170" t="s">
        <v>288</v>
      </c>
    </row>
    <row r="49">
      <c r="A49" s="253">
        <v>43675.0</v>
      </c>
      <c r="B49" s="254" t="s">
        <v>406</v>
      </c>
      <c r="C49" s="255">
        <v>100.0</v>
      </c>
      <c r="D49" s="170"/>
    </row>
    <row r="50">
      <c r="A50" s="253">
        <v>43658.0</v>
      </c>
      <c r="B50" s="254" t="s">
        <v>407</v>
      </c>
      <c r="C50" s="255">
        <v>-20.0</v>
      </c>
      <c r="D50" s="170" t="s">
        <v>288</v>
      </c>
    </row>
    <row r="51">
      <c r="A51" s="253">
        <v>43656.0</v>
      </c>
      <c r="B51" s="254" t="s">
        <v>398</v>
      </c>
      <c r="C51" s="255">
        <v>-340.6</v>
      </c>
      <c r="D51" s="170"/>
    </row>
    <row r="52">
      <c r="A52" s="253">
        <v>43655.0</v>
      </c>
      <c r="B52" s="254" t="s">
        <v>408</v>
      </c>
      <c r="C52" s="255">
        <v>26.0</v>
      </c>
      <c r="D52" s="170"/>
    </row>
    <row r="53">
      <c r="A53" s="253">
        <v>43654.0</v>
      </c>
      <c r="B53" s="254" t="s">
        <v>409</v>
      </c>
      <c r="C53" s="255">
        <v>-26.0</v>
      </c>
      <c r="D53" s="170"/>
    </row>
    <row r="54">
      <c r="A54" s="253">
        <v>43654.0</v>
      </c>
      <c r="B54" s="254" t="s">
        <v>382</v>
      </c>
      <c r="C54" s="255">
        <v>100.0</v>
      </c>
      <c r="D54" s="170"/>
    </row>
    <row r="55">
      <c r="A55" s="253">
        <v>43651.0</v>
      </c>
      <c r="B55" s="254" t="s">
        <v>410</v>
      </c>
      <c r="C55" s="255">
        <v>-0.23</v>
      </c>
      <c r="D55" s="170" t="s">
        <v>288</v>
      </c>
    </row>
    <row r="56">
      <c r="A56" s="253">
        <v>43651.0</v>
      </c>
      <c r="B56" s="254" t="s">
        <v>385</v>
      </c>
      <c r="C56" s="255">
        <v>-903.45</v>
      </c>
      <c r="D56" s="170"/>
    </row>
    <row r="57">
      <c r="A57" s="253">
        <v>43651.0</v>
      </c>
      <c r="B57" s="254" t="s">
        <v>386</v>
      </c>
      <c r="C57" s="255">
        <v>207.0</v>
      </c>
      <c r="D57" s="170"/>
    </row>
    <row r="58">
      <c r="A58" s="253">
        <v>43648.0</v>
      </c>
      <c r="B58" s="254" t="s">
        <v>411</v>
      </c>
      <c r="C58" s="255">
        <v>-0.66</v>
      </c>
      <c r="D58" s="170" t="s">
        <v>288</v>
      </c>
    </row>
    <row r="59">
      <c r="A59" s="253">
        <v>43648.0</v>
      </c>
      <c r="B59" s="254" t="s">
        <v>412</v>
      </c>
      <c r="C59" s="255">
        <v>-90.0</v>
      </c>
      <c r="D59" s="170" t="s">
        <v>288</v>
      </c>
    </row>
    <row r="60">
      <c r="A60" s="253">
        <v>43649.0</v>
      </c>
      <c r="B60" s="254" t="s">
        <v>384</v>
      </c>
      <c r="C60" s="255">
        <v>500.0</v>
      </c>
      <c r="D60" s="170"/>
    </row>
    <row r="61">
      <c r="A61" s="253">
        <v>43647.0</v>
      </c>
      <c r="B61" s="254" t="s">
        <v>413</v>
      </c>
      <c r="C61" s="255">
        <v>-2.9</v>
      </c>
      <c r="D61" s="170" t="s">
        <v>288</v>
      </c>
    </row>
    <row r="62">
      <c r="A62" s="253">
        <v>43641.0</v>
      </c>
      <c r="B62" s="254" t="s">
        <v>414</v>
      </c>
      <c r="C62" s="255">
        <v>-3.9</v>
      </c>
      <c r="D62" s="170" t="s">
        <v>288</v>
      </c>
    </row>
    <row r="63">
      <c r="A63" s="253">
        <v>43641.0</v>
      </c>
      <c r="B63" s="254" t="s">
        <v>415</v>
      </c>
      <c r="C63" s="255">
        <v>-2000.0</v>
      </c>
      <c r="D63" s="170"/>
    </row>
    <row r="64">
      <c r="A64" s="253">
        <v>43640.0</v>
      </c>
      <c r="B64" s="254" t="s">
        <v>416</v>
      </c>
      <c r="C64" s="255">
        <v>2000.0</v>
      </c>
      <c r="D64" s="170"/>
    </row>
    <row r="65">
      <c r="A65" s="253">
        <v>43636.0</v>
      </c>
      <c r="B65" s="254" t="s">
        <v>417</v>
      </c>
      <c r="C65" s="255">
        <v>-35.0</v>
      </c>
      <c r="D65" s="170" t="s">
        <v>288</v>
      </c>
    </row>
    <row r="66">
      <c r="A66" s="253">
        <v>43635.0</v>
      </c>
      <c r="B66" s="254" t="s">
        <v>401</v>
      </c>
      <c r="C66" s="255">
        <v>75.0</v>
      </c>
      <c r="D66" s="170"/>
    </row>
    <row r="67">
      <c r="A67" s="253">
        <v>43634.0</v>
      </c>
      <c r="B67" s="254" t="s">
        <v>402</v>
      </c>
      <c r="C67" s="255">
        <v>-75.0</v>
      </c>
      <c r="D67" s="170"/>
    </row>
    <row r="68">
      <c r="A68" s="253">
        <v>43630.0</v>
      </c>
      <c r="B68" s="254" t="s">
        <v>418</v>
      </c>
      <c r="C68" s="255">
        <v>99.42</v>
      </c>
      <c r="D68" s="170"/>
    </row>
    <row r="69">
      <c r="A69" s="253">
        <v>43628.0</v>
      </c>
      <c r="B69" s="254" t="s">
        <v>419</v>
      </c>
      <c r="C69" s="255">
        <v>-144.17</v>
      </c>
      <c r="D69" s="170" t="s">
        <v>288</v>
      </c>
    </row>
    <row r="70">
      <c r="A70" s="253">
        <v>43628.0</v>
      </c>
      <c r="B70" s="254" t="s">
        <v>420</v>
      </c>
      <c r="C70" s="255">
        <v>400.0</v>
      </c>
      <c r="D70" s="170"/>
    </row>
    <row r="71">
      <c r="A71" s="253">
        <v>43626.0</v>
      </c>
      <c r="B71" s="254" t="s">
        <v>398</v>
      </c>
      <c r="C71" s="255">
        <v>-340.6</v>
      </c>
      <c r="D71" s="170"/>
    </row>
    <row r="72">
      <c r="A72" s="165">
        <v>43623.0</v>
      </c>
      <c r="B72" s="256" t="s">
        <v>384</v>
      </c>
      <c r="C72" s="170">
        <v>100.0</v>
      </c>
      <c r="D72" s="170"/>
    </row>
    <row r="73">
      <c r="A73" s="253">
        <v>43622.0</v>
      </c>
      <c r="B73" s="254" t="s">
        <v>382</v>
      </c>
      <c r="C73" s="255">
        <v>100.0</v>
      </c>
      <c r="D73" s="170"/>
    </row>
    <row r="74">
      <c r="A74" s="253">
        <v>43621.0</v>
      </c>
      <c r="B74" s="254" t="s">
        <v>385</v>
      </c>
      <c r="C74" s="255">
        <v>-903.45</v>
      </c>
      <c r="D74" s="170"/>
    </row>
    <row r="75">
      <c r="A75" s="253">
        <v>43621.0</v>
      </c>
      <c r="B75" s="254" t="s">
        <v>386</v>
      </c>
      <c r="C75" s="255">
        <v>207.0</v>
      </c>
      <c r="D75" s="170"/>
    </row>
    <row r="76">
      <c r="A76" s="253">
        <v>43619.0</v>
      </c>
      <c r="B76" s="254" t="s">
        <v>421</v>
      </c>
      <c r="C76" s="255">
        <v>-25.0</v>
      </c>
      <c r="D76" s="170" t="s">
        <v>288</v>
      </c>
    </row>
    <row r="77">
      <c r="A77" s="253">
        <v>43619.0</v>
      </c>
      <c r="B77" s="254" t="s">
        <v>387</v>
      </c>
      <c r="C77" s="255">
        <v>518.94</v>
      </c>
      <c r="D77" s="170"/>
    </row>
    <row r="78">
      <c r="A78" s="253">
        <v>43613.0</v>
      </c>
      <c r="B78" s="254" t="s">
        <v>406</v>
      </c>
      <c r="C78" s="255">
        <v>50.0</v>
      </c>
      <c r="D78" s="170"/>
    </row>
    <row r="79">
      <c r="A79" s="253">
        <v>43612.0</v>
      </c>
      <c r="B79" s="254" t="s">
        <v>422</v>
      </c>
      <c r="C79" s="255">
        <v>-5.9</v>
      </c>
      <c r="D79" s="170" t="s">
        <v>288</v>
      </c>
    </row>
    <row r="80">
      <c r="A80" s="253">
        <v>43606.0</v>
      </c>
      <c r="B80" s="254" t="s">
        <v>418</v>
      </c>
      <c r="C80" s="255">
        <v>19.59</v>
      </c>
      <c r="D80" s="170"/>
    </row>
    <row r="81">
      <c r="A81" s="253">
        <v>43605.0</v>
      </c>
      <c r="B81" s="254" t="s">
        <v>408</v>
      </c>
      <c r="C81" s="255">
        <v>14.0</v>
      </c>
      <c r="D81" s="170"/>
    </row>
    <row r="82">
      <c r="A82" s="253">
        <v>43602.0</v>
      </c>
      <c r="B82" s="254" t="s">
        <v>423</v>
      </c>
      <c r="C82" s="255">
        <v>-27.98</v>
      </c>
      <c r="D82" s="170" t="s">
        <v>288</v>
      </c>
    </row>
    <row r="83">
      <c r="A83" s="253">
        <v>43602.0</v>
      </c>
      <c r="B83" s="254" t="s">
        <v>409</v>
      </c>
      <c r="C83" s="255">
        <v>-14.0</v>
      </c>
      <c r="D83" s="170"/>
    </row>
    <row r="84">
      <c r="A84" s="253">
        <v>43601.0</v>
      </c>
      <c r="B84" s="254" t="s">
        <v>424</v>
      </c>
      <c r="C84" s="255">
        <v>-500.0</v>
      </c>
      <c r="D84" s="170"/>
    </row>
    <row r="85">
      <c r="A85" s="165">
        <v>43600.0</v>
      </c>
      <c r="B85" s="256" t="s">
        <v>384</v>
      </c>
      <c r="C85" s="170">
        <v>500.0</v>
      </c>
      <c r="D85" s="170"/>
    </row>
    <row r="86">
      <c r="A86" s="253">
        <v>43595.0</v>
      </c>
      <c r="B86" s="254" t="s">
        <v>398</v>
      </c>
      <c r="C86" s="255">
        <v>-340.6</v>
      </c>
      <c r="D86" s="170"/>
    </row>
    <row r="87">
      <c r="A87" s="253">
        <v>43593.0</v>
      </c>
      <c r="B87" s="254" t="s">
        <v>384</v>
      </c>
      <c r="C87" s="255">
        <v>500.0</v>
      </c>
      <c r="D87" s="170"/>
    </row>
    <row r="88">
      <c r="A88" s="253">
        <v>43592.0</v>
      </c>
      <c r="B88" s="254" t="s">
        <v>382</v>
      </c>
      <c r="C88" s="255">
        <v>100.0</v>
      </c>
      <c r="D88" s="170"/>
    </row>
    <row r="89">
      <c r="A89" s="253">
        <v>43591.0</v>
      </c>
      <c r="B89" s="254" t="s">
        <v>425</v>
      </c>
      <c r="C89" s="255">
        <v>-53.0</v>
      </c>
      <c r="D89" s="170" t="s">
        <v>288</v>
      </c>
    </row>
    <row r="90">
      <c r="A90" s="253">
        <v>43591.0</v>
      </c>
      <c r="B90" s="254" t="s">
        <v>385</v>
      </c>
      <c r="C90" s="255">
        <v>-903.45</v>
      </c>
      <c r="D90" s="170"/>
    </row>
    <row r="91">
      <c r="A91" s="253">
        <v>43591.0</v>
      </c>
      <c r="B91" s="254" t="s">
        <v>386</v>
      </c>
      <c r="C91" s="255">
        <v>207.0</v>
      </c>
      <c r="D91" s="170"/>
    </row>
    <row r="92">
      <c r="A92" s="253">
        <v>43587.0</v>
      </c>
      <c r="B92" s="254" t="s">
        <v>387</v>
      </c>
      <c r="C92" s="255">
        <v>502.2</v>
      </c>
      <c r="D92" s="170"/>
    </row>
    <row r="93">
      <c r="A93" s="253">
        <v>43560.0</v>
      </c>
      <c r="B93" s="254" t="s">
        <v>426</v>
      </c>
      <c r="C93" s="255">
        <v>-0.15</v>
      </c>
      <c r="D93" s="170" t="s">
        <v>288</v>
      </c>
    </row>
    <row r="94">
      <c r="A94" s="253">
        <v>43560.0</v>
      </c>
      <c r="B94" s="254" t="s">
        <v>385</v>
      </c>
      <c r="C94" s="255">
        <v>-903.45</v>
      </c>
      <c r="D94" s="170"/>
    </row>
    <row r="95">
      <c r="A95" s="253">
        <v>43558.0</v>
      </c>
      <c r="B95" s="254" t="s">
        <v>384</v>
      </c>
      <c r="C95" s="255">
        <v>500.0</v>
      </c>
      <c r="D95" s="170"/>
    </row>
    <row r="96">
      <c r="A96" s="253">
        <v>43557.0</v>
      </c>
      <c r="B96" s="254" t="s">
        <v>427</v>
      </c>
      <c r="C96" s="255">
        <v>-33.0</v>
      </c>
      <c r="D96" s="170" t="s">
        <v>288</v>
      </c>
    </row>
    <row r="97">
      <c r="A97" s="253">
        <v>43557.0</v>
      </c>
      <c r="B97" s="254" t="s">
        <v>428</v>
      </c>
      <c r="C97" s="255">
        <v>-15.0</v>
      </c>
      <c r="D97" s="170" t="s">
        <v>288</v>
      </c>
    </row>
    <row r="98">
      <c r="A98" s="253">
        <v>43557.0</v>
      </c>
      <c r="B98" s="254" t="s">
        <v>387</v>
      </c>
      <c r="C98" s="255">
        <v>510.88</v>
      </c>
      <c r="D98" s="170"/>
    </row>
    <row r="99">
      <c r="A99" s="253">
        <v>43556.0</v>
      </c>
      <c r="B99" s="254" t="s">
        <v>429</v>
      </c>
      <c r="C99" s="255">
        <v>-100.0</v>
      </c>
      <c r="D99" s="170" t="s">
        <v>288</v>
      </c>
    </row>
    <row r="100">
      <c r="A100" s="253">
        <v>43556.0</v>
      </c>
      <c r="B100" s="254" t="s">
        <v>430</v>
      </c>
      <c r="C100" s="255">
        <v>-12.06</v>
      </c>
      <c r="D100" s="170" t="s">
        <v>288</v>
      </c>
    </row>
    <row r="101">
      <c r="A101" s="253">
        <v>43540.0</v>
      </c>
      <c r="B101" s="254" t="s">
        <v>431</v>
      </c>
      <c r="C101" s="255">
        <v>-12.91</v>
      </c>
      <c r="D101" s="170" t="s">
        <v>288</v>
      </c>
    </row>
    <row r="102">
      <c r="A102" s="253">
        <v>43539.0</v>
      </c>
      <c r="B102" s="254" t="s">
        <v>409</v>
      </c>
      <c r="C102" s="255">
        <v>120.0</v>
      </c>
      <c r="D102" s="170"/>
    </row>
    <row r="103">
      <c r="A103" s="253">
        <v>43538.0</v>
      </c>
      <c r="B103" s="254" t="s">
        <v>432</v>
      </c>
      <c r="C103" s="255">
        <v>-4.91</v>
      </c>
      <c r="D103" s="170" t="s">
        <v>288</v>
      </c>
    </row>
    <row r="104">
      <c r="A104" s="253">
        <v>43538.0</v>
      </c>
      <c r="B104" s="254" t="s">
        <v>402</v>
      </c>
      <c r="C104" s="255">
        <v>-120.0</v>
      </c>
      <c r="D104" s="170"/>
    </row>
    <row r="105">
      <c r="A105" s="253">
        <v>43538.0</v>
      </c>
      <c r="B105" s="254" t="s">
        <v>403</v>
      </c>
      <c r="C105" s="255">
        <v>-100.0</v>
      </c>
      <c r="D105" s="170" t="s">
        <v>288</v>
      </c>
    </row>
    <row r="106">
      <c r="A106" s="253">
        <v>43535.0</v>
      </c>
      <c r="B106" s="254" t="s">
        <v>398</v>
      </c>
      <c r="C106" s="255">
        <v>-340.6</v>
      </c>
      <c r="D106" s="170"/>
    </row>
    <row r="107">
      <c r="A107" s="253">
        <v>43531.0</v>
      </c>
      <c r="B107" s="254" t="s">
        <v>384</v>
      </c>
      <c r="C107" s="255">
        <v>700.0</v>
      </c>
      <c r="D107" s="170"/>
    </row>
    <row r="108">
      <c r="A108" s="253">
        <v>43530.0</v>
      </c>
      <c r="B108" s="254" t="s">
        <v>382</v>
      </c>
      <c r="C108" s="255">
        <v>100.0</v>
      </c>
      <c r="D108" s="170"/>
    </row>
    <row r="109">
      <c r="A109" s="165">
        <v>43529.0</v>
      </c>
      <c r="B109" s="256" t="s">
        <v>387</v>
      </c>
      <c r="C109" s="170">
        <v>461.44</v>
      </c>
      <c r="D109" s="170"/>
    </row>
    <row r="110">
      <c r="A110" s="253">
        <v>43529.0</v>
      </c>
      <c r="B110" s="254" t="s">
        <v>386</v>
      </c>
      <c r="C110" s="255">
        <v>207.0</v>
      </c>
      <c r="D110" s="170"/>
    </row>
    <row r="111">
      <c r="A111" s="165">
        <v>43529.0</v>
      </c>
      <c r="B111" s="256" t="s">
        <v>385</v>
      </c>
      <c r="C111" s="170">
        <v>-903.45</v>
      </c>
      <c r="D111" s="170"/>
    </row>
    <row r="112">
      <c r="A112" s="253">
        <v>43517.0</v>
      </c>
      <c r="B112" s="254" t="s">
        <v>402</v>
      </c>
      <c r="C112" s="255">
        <v>-10.0</v>
      </c>
      <c r="D112" s="170"/>
    </row>
    <row r="113">
      <c r="A113" s="253">
        <v>43511.0</v>
      </c>
      <c r="B113" s="254" t="s">
        <v>433</v>
      </c>
      <c r="C113" s="255">
        <v>-2.39</v>
      </c>
      <c r="D113" s="170"/>
    </row>
    <row r="114">
      <c r="A114" s="253">
        <v>43510.0</v>
      </c>
      <c r="B114" s="254" t="s">
        <v>434</v>
      </c>
      <c r="C114" s="255">
        <v>-20.1</v>
      </c>
      <c r="D114" s="170" t="s">
        <v>288</v>
      </c>
    </row>
    <row r="115">
      <c r="A115" s="165">
        <v>43507.0</v>
      </c>
      <c r="B115" s="256" t="s">
        <v>398</v>
      </c>
      <c r="C115" s="170">
        <v>-340.6</v>
      </c>
      <c r="D115" s="170"/>
    </row>
    <row r="116">
      <c r="A116" s="253">
        <v>43504.0</v>
      </c>
      <c r="B116" s="254" t="s">
        <v>384</v>
      </c>
      <c r="C116" s="255">
        <v>400.0</v>
      </c>
      <c r="D116" s="170"/>
    </row>
    <row r="117">
      <c r="A117" s="165">
        <v>43502.0</v>
      </c>
      <c r="B117" s="256" t="s">
        <v>382</v>
      </c>
      <c r="C117" s="170">
        <v>100.0</v>
      </c>
      <c r="D117" s="170"/>
    </row>
    <row r="118">
      <c r="A118" s="253">
        <v>43501.0</v>
      </c>
      <c r="B118" s="254" t="s">
        <v>435</v>
      </c>
      <c r="C118" s="255">
        <v>-35.0</v>
      </c>
      <c r="D118" s="170" t="s">
        <v>288</v>
      </c>
    </row>
    <row r="119">
      <c r="A119" s="165">
        <v>43501.0</v>
      </c>
      <c r="B119" s="256" t="s">
        <v>385</v>
      </c>
      <c r="C119" s="170">
        <v>-903.45</v>
      </c>
      <c r="D119" s="170"/>
    </row>
    <row r="120">
      <c r="A120" s="253">
        <v>43501.0</v>
      </c>
      <c r="B120" s="254" t="s">
        <v>386</v>
      </c>
      <c r="C120" s="255">
        <v>207.0</v>
      </c>
      <c r="D120" s="170"/>
    </row>
    <row r="121">
      <c r="A121" s="253">
        <v>43479.0</v>
      </c>
      <c r="B121" s="254" t="s">
        <v>436</v>
      </c>
      <c r="C121" s="255">
        <v>-1.76</v>
      </c>
      <c r="D121" s="170" t="s">
        <v>288</v>
      </c>
    </row>
    <row r="122">
      <c r="A122" s="253">
        <v>43475.0</v>
      </c>
      <c r="B122" s="254" t="s">
        <v>398</v>
      </c>
      <c r="C122" s="255">
        <v>-340.6</v>
      </c>
      <c r="D122" s="170"/>
    </row>
    <row r="123">
      <c r="A123" s="165">
        <v>43474.0</v>
      </c>
      <c r="B123" s="256" t="s">
        <v>437</v>
      </c>
      <c r="C123" s="170">
        <v>-1000.0</v>
      </c>
      <c r="D123" s="170"/>
    </row>
    <row r="124">
      <c r="A124" s="253">
        <v>43473.0</v>
      </c>
      <c r="B124" s="254" t="s">
        <v>384</v>
      </c>
      <c r="C124" s="255">
        <v>1500.0</v>
      </c>
      <c r="D124" s="170"/>
    </row>
    <row r="125">
      <c r="A125" s="253">
        <v>43473.0</v>
      </c>
      <c r="B125" s="254" t="s">
        <v>382</v>
      </c>
      <c r="C125" s="255">
        <v>100.0</v>
      </c>
      <c r="D125" s="170"/>
    </row>
    <row r="126">
      <c r="A126" s="253">
        <v>43472.0</v>
      </c>
      <c r="B126" s="254" t="s">
        <v>385</v>
      </c>
      <c r="C126" s="255">
        <v>-903.45</v>
      </c>
      <c r="D126" s="170"/>
    </row>
    <row r="127">
      <c r="A127" s="253">
        <v>43470.0</v>
      </c>
      <c r="B127" s="254" t="s">
        <v>438</v>
      </c>
      <c r="C127" s="255">
        <v>-35.0</v>
      </c>
      <c r="D127" s="170" t="s">
        <v>288</v>
      </c>
    </row>
    <row r="128">
      <c r="A128" s="253">
        <v>43467.0</v>
      </c>
      <c r="B128" s="254" t="s">
        <v>387</v>
      </c>
      <c r="C128" s="255">
        <v>510.88</v>
      </c>
      <c r="D128" s="170"/>
    </row>
    <row r="129">
      <c r="A129" s="253">
        <v>43454.0</v>
      </c>
      <c r="B129" s="254" t="s">
        <v>439</v>
      </c>
      <c r="C129" s="255">
        <v>-155.0</v>
      </c>
      <c r="D129" s="170"/>
    </row>
    <row r="130">
      <c r="A130" s="253">
        <v>43453.0</v>
      </c>
      <c r="B130" s="254" t="s">
        <v>387</v>
      </c>
      <c r="C130" s="255">
        <v>152.45</v>
      </c>
      <c r="D130" s="170"/>
    </row>
    <row r="131">
      <c r="A131" s="253">
        <v>43445.0</v>
      </c>
      <c r="B131" s="254" t="s">
        <v>409</v>
      </c>
      <c r="C131" s="255">
        <v>55.0</v>
      </c>
      <c r="D131" s="170"/>
    </row>
    <row r="132">
      <c r="A132" s="253">
        <v>43444.0</v>
      </c>
      <c r="B132" s="254" t="s">
        <v>402</v>
      </c>
      <c r="C132" s="255">
        <v>-55.0</v>
      </c>
      <c r="D132" s="170"/>
    </row>
    <row r="133">
      <c r="A133" s="253">
        <v>43444.0</v>
      </c>
      <c r="B133" s="254" t="s">
        <v>440</v>
      </c>
      <c r="C133" s="255">
        <v>-1000.0</v>
      </c>
      <c r="D133" s="170"/>
    </row>
    <row r="134">
      <c r="A134" s="253">
        <v>43444.0</v>
      </c>
      <c r="B134" s="254" t="s">
        <v>398</v>
      </c>
      <c r="C134" s="255">
        <v>-340.6</v>
      </c>
      <c r="D134" s="170"/>
    </row>
    <row r="135">
      <c r="A135" s="253">
        <v>43440.0</v>
      </c>
      <c r="B135" s="254" t="s">
        <v>441</v>
      </c>
      <c r="C135" s="255">
        <v>-41.85</v>
      </c>
      <c r="D135" s="170" t="s">
        <v>288</v>
      </c>
    </row>
    <row r="136">
      <c r="A136" s="253">
        <v>43440.0</v>
      </c>
      <c r="B136" s="254" t="s">
        <v>441</v>
      </c>
      <c r="C136" s="255">
        <v>-101.8</v>
      </c>
      <c r="D136" s="170" t="s">
        <v>288</v>
      </c>
    </row>
    <row r="137">
      <c r="A137" s="253">
        <v>43440.0</v>
      </c>
      <c r="B137" s="254" t="s">
        <v>382</v>
      </c>
      <c r="C137" s="255">
        <v>100.0</v>
      </c>
      <c r="D137" s="170"/>
    </row>
    <row r="138">
      <c r="A138" s="253">
        <v>43440.0</v>
      </c>
      <c r="B138" s="254" t="s">
        <v>442</v>
      </c>
      <c r="C138" s="255">
        <v>140.0</v>
      </c>
      <c r="D138" s="170"/>
    </row>
    <row r="139">
      <c r="A139" s="253">
        <v>43439.0</v>
      </c>
      <c r="B139" s="254" t="s">
        <v>385</v>
      </c>
      <c r="C139" s="255">
        <v>-903.45</v>
      </c>
      <c r="D139" s="170"/>
    </row>
    <row r="140">
      <c r="A140" s="253">
        <v>43439.0</v>
      </c>
      <c r="B140" s="254" t="s">
        <v>386</v>
      </c>
      <c r="C140" s="255">
        <v>207.0</v>
      </c>
      <c r="D140" s="170"/>
    </row>
    <row r="141">
      <c r="A141" s="253">
        <v>43438.0</v>
      </c>
      <c r="B141" s="254" t="s">
        <v>387</v>
      </c>
      <c r="C141" s="255">
        <v>494.4</v>
      </c>
      <c r="D141" s="170"/>
    </row>
    <row r="142">
      <c r="A142" s="253">
        <v>43437.0</v>
      </c>
      <c r="B142" s="254" t="s">
        <v>443</v>
      </c>
      <c r="C142" s="255">
        <v>-76.0</v>
      </c>
      <c r="D142" s="170" t="s">
        <v>288</v>
      </c>
    </row>
    <row r="143">
      <c r="A143" s="253">
        <v>43437.0</v>
      </c>
      <c r="B143" s="254" t="s">
        <v>444</v>
      </c>
      <c r="C143" s="255">
        <v>-23.6</v>
      </c>
      <c r="D143" s="170" t="s">
        <v>288</v>
      </c>
    </row>
    <row r="144">
      <c r="A144" s="253">
        <v>43437.0</v>
      </c>
      <c r="B144" s="254" t="s">
        <v>444</v>
      </c>
      <c r="C144" s="255">
        <v>-82.0</v>
      </c>
      <c r="D144" s="170" t="s">
        <v>288</v>
      </c>
    </row>
    <row r="145">
      <c r="A145" s="253">
        <v>43437.0</v>
      </c>
      <c r="B145" s="254" t="s">
        <v>445</v>
      </c>
      <c r="C145" s="255">
        <v>185.0</v>
      </c>
      <c r="D145" s="170"/>
    </row>
    <row r="146">
      <c r="A146" s="253">
        <v>43430.0</v>
      </c>
      <c r="B146" s="254" t="s">
        <v>446</v>
      </c>
      <c r="C146" s="255">
        <v>-34.0</v>
      </c>
      <c r="D146" s="170"/>
    </row>
    <row r="147">
      <c r="A147" s="253">
        <v>43430.0</v>
      </c>
      <c r="B147" s="254" t="s">
        <v>447</v>
      </c>
      <c r="C147" s="255">
        <v>33.12</v>
      </c>
      <c r="D147" s="170"/>
    </row>
    <row r="148">
      <c r="A148" s="253">
        <v>43417.0</v>
      </c>
      <c r="B148" s="254" t="s">
        <v>448</v>
      </c>
      <c r="C148" s="255">
        <v>-7.45</v>
      </c>
      <c r="D148" s="170" t="s">
        <v>288</v>
      </c>
    </row>
    <row r="149">
      <c r="A149" s="253">
        <v>43416.0</v>
      </c>
      <c r="B149" s="254" t="s">
        <v>449</v>
      </c>
      <c r="C149" s="255">
        <v>-16.1</v>
      </c>
      <c r="D149" s="170" t="s">
        <v>288</v>
      </c>
    </row>
    <row r="150">
      <c r="A150" s="253">
        <v>43416.0</v>
      </c>
      <c r="B150" s="254" t="s">
        <v>450</v>
      </c>
      <c r="C150" s="255">
        <v>-77.0</v>
      </c>
      <c r="D150" s="170" t="s">
        <v>288</v>
      </c>
    </row>
    <row r="151">
      <c r="A151" s="253">
        <v>43416.0</v>
      </c>
      <c r="B151" s="254" t="s">
        <v>451</v>
      </c>
      <c r="C151" s="255">
        <v>-33.0</v>
      </c>
      <c r="D151" s="170" t="s">
        <v>288</v>
      </c>
    </row>
    <row r="152">
      <c r="A152" s="253">
        <v>43416.0</v>
      </c>
      <c r="B152" s="254" t="s">
        <v>398</v>
      </c>
      <c r="C152" s="255">
        <v>-340.6</v>
      </c>
      <c r="D152" s="170"/>
    </row>
    <row r="153">
      <c r="A153" s="253">
        <v>43411.0</v>
      </c>
      <c r="B153" s="254" t="s">
        <v>452</v>
      </c>
      <c r="C153" s="255">
        <v>-45.0</v>
      </c>
      <c r="D153" s="170"/>
    </row>
    <row r="154">
      <c r="A154" s="253">
        <v>43410.0</v>
      </c>
      <c r="B154" s="254" t="s">
        <v>382</v>
      </c>
      <c r="C154" s="255">
        <v>100.0</v>
      </c>
      <c r="D154" s="170"/>
    </row>
    <row r="155">
      <c r="A155" s="253">
        <v>43410.0</v>
      </c>
      <c r="B155" s="254" t="s">
        <v>453</v>
      </c>
      <c r="C155" s="255">
        <v>45.0</v>
      </c>
      <c r="D155" s="170"/>
    </row>
    <row r="156">
      <c r="A156" s="253">
        <v>43409.0</v>
      </c>
      <c r="B156" s="254" t="s">
        <v>385</v>
      </c>
      <c r="C156" s="255">
        <v>-903.45</v>
      </c>
      <c r="D156" s="170"/>
    </row>
    <row r="157">
      <c r="A157" s="253">
        <v>43398.0</v>
      </c>
      <c r="B157" s="254" t="s">
        <v>411</v>
      </c>
      <c r="C157" s="255">
        <v>-0.66</v>
      </c>
      <c r="D157" s="170" t="s">
        <v>288</v>
      </c>
    </row>
    <row r="158">
      <c r="A158" s="253">
        <v>43398.0</v>
      </c>
      <c r="B158" s="254" t="s">
        <v>454</v>
      </c>
      <c r="C158" s="255">
        <v>-922.0</v>
      </c>
      <c r="D158" s="170"/>
    </row>
    <row r="159">
      <c r="A159" s="253">
        <v>43397.0</v>
      </c>
      <c r="B159" s="254" t="s">
        <v>415</v>
      </c>
      <c r="C159" s="255">
        <v>-6060.0</v>
      </c>
      <c r="D159" s="170"/>
    </row>
    <row r="160">
      <c r="A160" s="253">
        <v>43397.0</v>
      </c>
      <c r="B160" s="254" t="s">
        <v>418</v>
      </c>
      <c r="C160" s="255">
        <v>6.5</v>
      </c>
      <c r="D160" s="170"/>
    </row>
    <row r="161">
      <c r="A161" s="253">
        <v>43396.0</v>
      </c>
      <c r="B161" s="254" t="s">
        <v>436</v>
      </c>
      <c r="C161" s="255">
        <v>-0.8</v>
      </c>
      <c r="D161" s="170" t="s">
        <v>288</v>
      </c>
    </row>
    <row r="162">
      <c r="A162" s="253">
        <v>43395.0</v>
      </c>
      <c r="B162" s="254" t="s">
        <v>409</v>
      </c>
      <c r="C162" s="255">
        <v>9.2</v>
      </c>
      <c r="D162" s="170"/>
    </row>
    <row r="163">
      <c r="A163" s="253">
        <v>43395.0</v>
      </c>
      <c r="B163" s="254" t="s">
        <v>455</v>
      </c>
      <c r="C163" s="255">
        <v>7000.0</v>
      </c>
      <c r="D163" s="170"/>
    </row>
    <row r="164">
      <c r="A164" s="253">
        <v>43383.0</v>
      </c>
      <c r="B164" s="254" t="s">
        <v>390</v>
      </c>
      <c r="C164" s="255">
        <v>-134.17</v>
      </c>
      <c r="D164" s="170" t="s">
        <v>288</v>
      </c>
    </row>
    <row r="165">
      <c r="A165" s="253">
        <v>43383.0</v>
      </c>
      <c r="B165" s="254" t="s">
        <v>398</v>
      </c>
      <c r="C165" s="255">
        <v>-340.6</v>
      </c>
      <c r="D165" s="170"/>
    </row>
    <row r="166">
      <c r="A166" s="253">
        <v>43381.0</v>
      </c>
      <c r="B166" s="254" t="s">
        <v>382</v>
      </c>
      <c r="C166" s="255">
        <v>100.0</v>
      </c>
      <c r="D166" s="170"/>
    </row>
    <row r="167">
      <c r="A167" s="253">
        <v>43378.0</v>
      </c>
      <c r="B167" s="254" t="s">
        <v>456</v>
      </c>
      <c r="C167" s="255">
        <v>-0.72</v>
      </c>
      <c r="D167" s="170" t="s">
        <v>288</v>
      </c>
    </row>
    <row r="168">
      <c r="A168" s="253">
        <v>43378.0</v>
      </c>
      <c r="B168" s="254" t="s">
        <v>457</v>
      </c>
      <c r="C168" s="255">
        <v>-890.0</v>
      </c>
      <c r="D168" s="170"/>
    </row>
    <row r="169">
      <c r="A169" s="253">
        <v>43378.0</v>
      </c>
      <c r="B169" s="254" t="s">
        <v>458</v>
      </c>
      <c r="C169" s="255">
        <v>800.0</v>
      </c>
      <c r="D169" s="170"/>
    </row>
    <row r="170">
      <c r="A170" s="253">
        <v>43377.0</v>
      </c>
      <c r="B170" s="254" t="s">
        <v>459</v>
      </c>
      <c r="C170" s="255">
        <v>-1.0</v>
      </c>
      <c r="D170" s="170"/>
    </row>
    <row r="171">
      <c r="A171" s="253">
        <v>43377.0</v>
      </c>
      <c r="B171" s="254" t="s">
        <v>460</v>
      </c>
      <c r="C171" s="255">
        <v>-5.0</v>
      </c>
      <c r="D171" s="170" t="s">
        <v>288</v>
      </c>
    </row>
    <row r="172">
      <c r="A172" s="253">
        <v>43377.0</v>
      </c>
      <c r="B172" s="254" t="s">
        <v>459</v>
      </c>
      <c r="C172" s="255">
        <v>1.0</v>
      </c>
      <c r="D172" s="170"/>
    </row>
    <row r="173">
      <c r="A173" s="253">
        <v>43375.0</v>
      </c>
      <c r="B173" s="254" t="s">
        <v>387</v>
      </c>
      <c r="C173" s="255">
        <v>494.4</v>
      </c>
      <c r="D173" s="170"/>
    </row>
    <row r="174">
      <c r="A174" s="253">
        <v>43356.0</v>
      </c>
      <c r="B174" s="254" t="s">
        <v>415</v>
      </c>
      <c r="C174" s="255">
        <v>-440.0</v>
      </c>
      <c r="D174" s="170"/>
    </row>
    <row r="175">
      <c r="A175" s="253">
        <v>43355.0</v>
      </c>
      <c r="B175" s="254" t="s">
        <v>384</v>
      </c>
      <c r="C175" s="255">
        <v>500.0</v>
      </c>
      <c r="D175" s="170"/>
    </row>
    <row r="176">
      <c r="A176" s="253">
        <v>43354.0</v>
      </c>
      <c r="B176" s="254" t="s">
        <v>408</v>
      </c>
      <c r="C176" s="255">
        <v>350.0</v>
      </c>
      <c r="D176" s="170"/>
    </row>
    <row r="177">
      <c r="A177" s="253">
        <v>43354.0</v>
      </c>
      <c r="B177" s="254" t="s">
        <v>409</v>
      </c>
      <c r="C177" s="255">
        <v>-350.0</v>
      </c>
      <c r="D177" s="170"/>
    </row>
    <row r="178">
      <c r="A178" s="253">
        <v>43353.0</v>
      </c>
      <c r="B178" s="254" t="s">
        <v>398</v>
      </c>
      <c r="C178" s="255">
        <v>-340.6</v>
      </c>
      <c r="D178" s="170"/>
    </row>
    <row r="179">
      <c r="A179" s="253">
        <v>43351.0</v>
      </c>
      <c r="B179" s="254" t="s">
        <v>461</v>
      </c>
      <c r="C179" s="255">
        <v>2.01</v>
      </c>
      <c r="D179" s="170"/>
    </row>
    <row r="180">
      <c r="A180" s="253">
        <v>43351.0</v>
      </c>
      <c r="B180" s="254" t="s">
        <v>461</v>
      </c>
      <c r="C180" s="255">
        <v>3.05</v>
      </c>
      <c r="D180" s="170"/>
    </row>
    <row r="181">
      <c r="A181" s="253">
        <v>43349.0</v>
      </c>
      <c r="B181" s="254" t="s">
        <v>382</v>
      </c>
      <c r="C181" s="255">
        <v>100.0</v>
      </c>
      <c r="D181" s="170"/>
    </row>
    <row r="182">
      <c r="A182" s="253">
        <v>43348.0</v>
      </c>
      <c r="B182" s="254" t="s">
        <v>457</v>
      </c>
      <c r="C182" s="255">
        <v>-890.0</v>
      </c>
      <c r="D182" s="170"/>
    </row>
    <row r="183">
      <c r="A183" s="253">
        <v>43348.0</v>
      </c>
      <c r="B183" s="254" t="s">
        <v>386</v>
      </c>
      <c r="C183" s="255">
        <v>207.0</v>
      </c>
      <c r="D183" s="170"/>
    </row>
    <row r="184">
      <c r="A184" s="253">
        <v>43347.0</v>
      </c>
      <c r="B184" s="254" t="s">
        <v>461</v>
      </c>
      <c r="C184" s="255">
        <v>-2.02</v>
      </c>
      <c r="D184" s="170" t="s">
        <v>288</v>
      </c>
    </row>
    <row r="185">
      <c r="A185" s="253">
        <v>43347.0</v>
      </c>
      <c r="B185" s="254" t="s">
        <v>461</v>
      </c>
      <c r="C185" s="255">
        <v>-3.07</v>
      </c>
      <c r="D185" s="170" t="s">
        <v>288</v>
      </c>
    </row>
    <row r="186">
      <c r="A186" s="253">
        <v>43347.0</v>
      </c>
      <c r="B186" s="254" t="s">
        <v>462</v>
      </c>
      <c r="C186" s="255">
        <v>0.91</v>
      </c>
      <c r="D186" s="170"/>
    </row>
    <row r="187">
      <c r="A187" s="253">
        <v>43347.0</v>
      </c>
      <c r="B187" s="254" t="s">
        <v>461</v>
      </c>
      <c r="C187" s="255">
        <v>2.03</v>
      </c>
      <c r="D187" s="170"/>
    </row>
    <row r="188">
      <c r="A188" s="253">
        <v>43347.0</v>
      </c>
      <c r="B188" s="254" t="s">
        <v>463</v>
      </c>
      <c r="C188" s="255">
        <v>8.1</v>
      </c>
      <c r="D188" s="170"/>
    </row>
    <row r="189">
      <c r="A189" s="253">
        <v>43346.0</v>
      </c>
      <c r="B189" s="254" t="s">
        <v>387</v>
      </c>
      <c r="C189" s="255">
        <v>510.88</v>
      </c>
      <c r="D189" s="170"/>
    </row>
    <row r="190">
      <c r="A190" s="253">
        <v>43346.0</v>
      </c>
      <c r="B190" s="254" t="s">
        <v>464</v>
      </c>
      <c r="C190" s="255">
        <v>-26.34</v>
      </c>
      <c r="D190" s="170" t="s">
        <v>288</v>
      </c>
    </row>
    <row r="191">
      <c r="A191" s="253">
        <v>43346.0</v>
      </c>
      <c r="B191" s="254" t="s">
        <v>465</v>
      </c>
      <c r="C191" s="255">
        <v>-1.67</v>
      </c>
      <c r="D191" s="170" t="s">
        <v>288</v>
      </c>
    </row>
    <row r="192">
      <c r="A192" s="253">
        <v>43346.0</v>
      </c>
      <c r="B192" s="254" t="s">
        <v>466</v>
      </c>
      <c r="C192" s="255">
        <v>-38.25</v>
      </c>
      <c r="D192" s="170" t="s">
        <v>288</v>
      </c>
    </row>
    <row r="193">
      <c r="A193" s="253">
        <v>43346.0</v>
      </c>
      <c r="B193" s="254" t="s">
        <v>467</v>
      </c>
      <c r="C193" s="255">
        <v>30.53</v>
      </c>
      <c r="D193" s="170"/>
    </row>
    <row r="194">
      <c r="A194" s="253">
        <v>43346.0</v>
      </c>
      <c r="B194" s="254" t="s">
        <v>468</v>
      </c>
      <c r="C194" s="255">
        <v>13.53</v>
      </c>
      <c r="D194" s="170"/>
    </row>
    <row r="195">
      <c r="A195" s="253">
        <v>43346.0</v>
      </c>
      <c r="B195" s="254" t="s">
        <v>463</v>
      </c>
      <c r="C195" s="255">
        <v>1.01</v>
      </c>
      <c r="D195" s="170"/>
    </row>
    <row r="196">
      <c r="A196" s="253">
        <v>43346.0</v>
      </c>
      <c r="B196" s="254" t="s">
        <v>463</v>
      </c>
      <c r="C196" s="255">
        <v>5.32</v>
      </c>
      <c r="D196" s="170"/>
    </row>
    <row r="197">
      <c r="A197" s="253">
        <v>43342.0</v>
      </c>
      <c r="B197" s="254" t="s">
        <v>469</v>
      </c>
      <c r="C197" s="255">
        <v>25.15</v>
      </c>
      <c r="D197" s="170"/>
    </row>
    <row r="198">
      <c r="A198" s="165">
        <v>43341.0</v>
      </c>
      <c r="B198" s="256" t="s">
        <v>462</v>
      </c>
      <c r="C198" s="170">
        <v>1.02</v>
      </c>
      <c r="D198" s="170"/>
    </row>
    <row r="199">
      <c r="A199" s="253">
        <v>43341.0</v>
      </c>
      <c r="B199" s="254" t="s">
        <v>461</v>
      </c>
      <c r="C199" s="255">
        <v>9.03</v>
      </c>
      <c r="D199" s="170"/>
    </row>
    <row r="200">
      <c r="A200" s="253">
        <v>43341.0</v>
      </c>
      <c r="B200" s="254" t="s">
        <v>463</v>
      </c>
      <c r="C200" s="255">
        <v>7.53</v>
      </c>
      <c r="D200" s="170"/>
    </row>
    <row r="201">
      <c r="A201" s="253">
        <v>43341.0</v>
      </c>
      <c r="B201" s="254" t="s">
        <v>463</v>
      </c>
      <c r="C201" s="255">
        <v>8.56</v>
      </c>
      <c r="D201" s="170"/>
    </row>
    <row r="202">
      <c r="A202" s="253">
        <v>43341.0</v>
      </c>
      <c r="B202" s="254" t="s">
        <v>461</v>
      </c>
      <c r="C202" s="255">
        <v>-2.01</v>
      </c>
      <c r="D202" s="170" t="s">
        <v>288</v>
      </c>
    </row>
    <row r="203">
      <c r="A203" s="253">
        <v>43341.0</v>
      </c>
      <c r="B203" s="254" t="s">
        <v>461</v>
      </c>
      <c r="C203" s="255">
        <v>-3.05</v>
      </c>
      <c r="D203" s="170" t="s">
        <v>288</v>
      </c>
    </row>
    <row r="204">
      <c r="A204" s="253">
        <v>43341.0</v>
      </c>
      <c r="B204" s="254" t="s">
        <v>461</v>
      </c>
      <c r="C204" s="255">
        <v>-2.02</v>
      </c>
      <c r="D204" s="170" t="s">
        <v>288</v>
      </c>
    </row>
    <row r="205">
      <c r="A205" s="253">
        <v>43341.0</v>
      </c>
      <c r="B205" s="254" t="s">
        <v>463</v>
      </c>
      <c r="C205" s="255">
        <v>-8.07</v>
      </c>
      <c r="D205" s="170" t="s">
        <v>288</v>
      </c>
    </row>
    <row r="206">
      <c r="A206" s="253">
        <v>43340.0</v>
      </c>
      <c r="B206" s="254" t="s">
        <v>461</v>
      </c>
      <c r="C206" s="255">
        <v>1.02</v>
      </c>
      <c r="D206" s="170"/>
    </row>
    <row r="207">
      <c r="A207" s="253">
        <v>43340.0</v>
      </c>
      <c r="B207" s="254" t="s">
        <v>461</v>
      </c>
      <c r="C207" s="255">
        <v>4.41</v>
      </c>
      <c r="D207" s="170"/>
    </row>
    <row r="208">
      <c r="A208" s="253">
        <v>43340.0</v>
      </c>
      <c r="B208" s="254" t="s">
        <v>461</v>
      </c>
      <c r="C208" s="255">
        <v>4.62</v>
      </c>
      <c r="D208" s="170"/>
    </row>
    <row r="209">
      <c r="A209" s="253">
        <v>43339.0</v>
      </c>
      <c r="B209" s="254" t="s">
        <v>470</v>
      </c>
      <c r="C209" s="255">
        <v>-1.35</v>
      </c>
      <c r="D209" s="170" t="s">
        <v>288</v>
      </c>
    </row>
    <row r="210">
      <c r="A210" s="253">
        <v>43339.0</v>
      </c>
      <c r="B210" s="254">
        <v>630380.0</v>
      </c>
      <c r="C210" s="255">
        <v>-79.57</v>
      </c>
      <c r="D210" s="170" t="s">
        <v>288</v>
      </c>
    </row>
    <row r="211">
      <c r="A211" s="253">
        <v>43339.0</v>
      </c>
      <c r="B211" s="254" t="s">
        <v>467</v>
      </c>
      <c r="C211" s="255">
        <v>-30.14</v>
      </c>
      <c r="D211" s="170" t="s">
        <v>288</v>
      </c>
    </row>
    <row r="212">
      <c r="A212" s="253">
        <v>43339.0</v>
      </c>
      <c r="B212" s="254" t="s">
        <v>462</v>
      </c>
      <c r="C212" s="255">
        <v>-0.91</v>
      </c>
      <c r="D212" s="170" t="s">
        <v>288</v>
      </c>
    </row>
    <row r="213">
      <c r="A213" s="253">
        <v>43339.0</v>
      </c>
      <c r="B213" s="254" t="s">
        <v>465</v>
      </c>
      <c r="C213" s="255">
        <v>-1.67</v>
      </c>
      <c r="D213" s="170" t="s">
        <v>288</v>
      </c>
    </row>
    <row r="214">
      <c r="A214" s="253">
        <v>43339.0</v>
      </c>
      <c r="B214" s="254" t="s">
        <v>463</v>
      </c>
      <c r="C214" s="255">
        <v>-1.0</v>
      </c>
      <c r="D214" s="170" t="s">
        <v>288</v>
      </c>
    </row>
    <row r="215">
      <c r="A215" s="253">
        <v>43339.0</v>
      </c>
      <c r="B215" s="254" t="s">
        <v>463</v>
      </c>
      <c r="C215" s="255">
        <v>-5.25</v>
      </c>
      <c r="D215" s="170" t="s">
        <v>288</v>
      </c>
    </row>
    <row r="216">
      <c r="A216" s="253">
        <v>43339.0</v>
      </c>
      <c r="B216" s="254" t="s">
        <v>471</v>
      </c>
      <c r="C216" s="255">
        <v>-13.47</v>
      </c>
      <c r="D216" s="170" t="s">
        <v>288</v>
      </c>
    </row>
    <row r="217">
      <c r="A217" s="253">
        <v>43338.0</v>
      </c>
      <c r="B217" s="254" t="s">
        <v>472</v>
      </c>
      <c r="C217" s="255">
        <v>-79.21</v>
      </c>
      <c r="D217" s="170" t="s">
        <v>288</v>
      </c>
    </row>
    <row r="218">
      <c r="A218" s="253">
        <v>43337.0</v>
      </c>
      <c r="B218" s="254" t="s">
        <v>462</v>
      </c>
      <c r="C218" s="255">
        <v>5.29</v>
      </c>
      <c r="D218" s="170"/>
    </row>
    <row r="219">
      <c r="A219" s="253">
        <v>43337.0</v>
      </c>
      <c r="B219" s="254" t="s">
        <v>461</v>
      </c>
      <c r="C219" s="255">
        <v>3.94</v>
      </c>
      <c r="D219" s="170"/>
    </row>
    <row r="220">
      <c r="A220" s="253">
        <v>43337.0</v>
      </c>
      <c r="B220" s="254" t="s">
        <v>461</v>
      </c>
      <c r="C220" s="255">
        <v>6.04</v>
      </c>
      <c r="D220" s="170"/>
    </row>
    <row r="221">
      <c r="A221" s="253">
        <v>43335.0</v>
      </c>
      <c r="B221" s="254" t="s">
        <v>469</v>
      </c>
      <c r="C221" s="255">
        <v>-25.11</v>
      </c>
      <c r="D221" s="170" t="s">
        <v>288</v>
      </c>
    </row>
    <row r="222">
      <c r="A222" s="253">
        <v>43335.0</v>
      </c>
      <c r="B222" s="254" t="s">
        <v>467</v>
      </c>
      <c r="C222" s="255">
        <v>-30.53</v>
      </c>
      <c r="D222" s="170" t="s">
        <v>288</v>
      </c>
    </row>
    <row r="223">
      <c r="A223" s="253">
        <v>43335.0</v>
      </c>
      <c r="B223" s="254" t="s">
        <v>463</v>
      </c>
      <c r="C223" s="255">
        <v>-7.52</v>
      </c>
      <c r="D223" s="170" t="s">
        <v>288</v>
      </c>
    </row>
    <row r="224">
      <c r="A224" s="253">
        <v>43335.0</v>
      </c>
      <c r="B224" s="254" t="s">
        <v>463</v>
      </c>
      <c r="C224" s="255">
        <v>-8.55</v>
      </c>
      <c r="D224" s="170" t="s">
        <v>288</v>
      </c>
    </row>
    <row r="225">
      <c r="A225" s="253">
        <v>43335.0</v>
      </c>
      <c r="B225" s="254" t="s">
        <v>462</v>
      </c>
      <c r="C225" s="255">
        <v>8.93</v>
      </c>
      <c r="D225" s="170"/>
    </row>
    <row r="226">
      <c r="A226" s="253">
        <v>43334.0</v>
      </c>
      <c r="B226" s="254" t="s">
        <v>461</v>
      </c>
      <c r="C226" s="255">
        <v>12.61</v>
      </c>
      <c r="D226" s="170"/>
    </row>
    <row r="227">
      <c r="A227" s="253">
        <v>43334.0</v>
      </c>
      <c r="B227" s="254" t="s">
        <v>461</v>
      </c>
      <c r="C227" s="255">
        <v>9.17</v>
      </c>
      <c r="D227" s="170"/>
    </row>
    <row r="228">
      <c r="A228" s="253">
        <v>43334.0</v>
      </c>
      <c r="B228" s="254" t="s">
        <v>462</v>
      </c>
      <c r="C228" s="255">
        <v>-1.02</v>
      </c>
      <c r="D228" s="170" t="s">
        <v>288</v>
      </c>
    </row>
    <row r="229">
      <c r="A229" s="253">
        <v>43334.0</v>
      </c>
      <c r="B229" s="254" t="s">
        <v>461</v>
      </c>
      <c r="C229" s="255">
        <v>-9.03</v>
      </c>
      <c r="D229" s="170" t="s">
        <v>288</v>
      </c>
    </row>
    <row r="230">
      <c r="A230" s="253">
        <v>43334.0</v>
      </c>
      <c r="B230" s="254" t="s">
        <v>463</v>
      </c>
      <c r="C230" s="255">
        <v>-5.32</v>
      </c>
      <c r="D230" s="170" t="s">
        <v>288</v>
      </c>
    </row>
    <row r="231">
      <c r="A231" s="253">
        <v>43334.0</v>
      </c>
      <c r="B231" s="254" t="s">
        <v>466</v>
      </c>
      <c r="C231" s="255">
        <v>-60.28</v>
      </c>
      <c r="D231" s="170" t="s">
        <v>288</v>
      </c>
    </row>
    <row r="232">
      <c r="A232" s="253">
        <v>43333.0</v>
      </c>
      <c r="B232" s="254" t="s">
        <v>470</v>
      </c>
      <c r="C232" s="255">
        <v>-1.38</v>
      </c>
      <c r="D232" s="170" t="s">
        <v>288</v>
      </c>
    </row>
    <row r="233">
      <c r="A233" s="253">
        <v>43333.0</v>
      </c>
      <c r="B233" s="254">
        <v>530090.0</v>
      </c>
      <c r="C233" s="255">
        <v>-81.33</v>
      </c>
      <c r="D233" s="170" t="s">
        <v>288</v>
      </c>
    </row>
    <row r="234">
      <c r="A234" s="253">
        <v>43333.0</v>
      </c>
      <c r="B234" s="254" t="s">
        <v>461</v>
      </c>
      <c r="C234" s="255">
        <v>-1.03</v>
      </c>
      <c r="D234" s="170" t="s">
        <v>288</v>
      </c>
    </row>
    <row r="235">
      <c r="A235" s="253">
        <v>43333.0</v>
      </c>
      <c r="B235" s="254" t="s">
        <v>461</v>
      </c>
      <c r="C235" s="255">
        <v>-4.43</v>
      </c>
      <c r="D235" s="170" t="s">
        <v>288</v>
      </c>
    </row>
    <row r="236">
      <c r="A236" s="253">
        <v>43333.0</v>
      </c>
      <c r="B236" s="254" t="s">
        <v>461</v>
      </c>
      <c r="C236" s="255">
        <v>-4.63</v>
      </c>
      <c r="D236" s="170" t="s">
        <v>288</v>
      </c>
    </row>
    <row r="237">
      <c r="A237" s="253">
        <v>43333.0</v>
      </c>
      <c r="B237" s="254" t="s">
        <v>461</v>
      </c>
      <c r="C237" s="255">
        <v>1.17</v>
      </c>
      <c r="D237" s="170"/>
    </row>
    <row r="238">
      <c r="A238" s="253">
        <v>43333.0</v>
      </c>
      <c r="B238" s="254" t="s">
        <v>461</v>
      </c>
      <c r="C238" s="255">
        <v>2.72</v>
      </c>
      <c r="D238" s="170"/>
    </row>
    <row r="239">
      <c r="A239" s="253">
        <v>43333.0</v>
      </c>
      <c r="B239" s="254" t="s">
        <v>461</v>
      </c>
      <c r="C239" s="255">
        <v>3.5</v>
      </c>
      <c r="D239" s="170"/>
    </row>
    <row r="240">
      <c r="A240" s="253">
        <v>43332.0</v>
      </c>
      <c r="B240" s="254" t="s">
        <v>469</v>
      </c>
      <c r="C240" s="255">
        <v>-25.15</v>
      </c>
      <c r="D240" s="170" t="s">
        <v>288</v>
      </c>
    </row>
    <row r="241">
      <c r="A241" s="253">
        <v>43331.0</v>
      </c>
      <c r="B241" s="254" t="s">
        <v>462</v>
      </c>
      <c r="C241" s="255">
        <v>8.99</v>
      </c>
      <c r="D241" s="170"/>
    </row>
    <row r="242">
      <c r="A242" s="253">
        <v>43331.0</v>
      </c>
      <c r="B242" s="254" t="s">
        <v>462</v>
      </c>
      <c r="C242" s="255">
        <v>-1.02</v>
      </c>
      <c r="D242" s="170" t="s">
        <v>288</v>
      </c>
    </row>
    <row r="243">
      <c r="A243" s="253">
        <v>43331.0</v>
      </c>
      <c r="B243" s="254" t="s">
        <v>474</v>
      </c>
      <c r="C243" s="255">
        <v>-81.01</v>
      </c>
      <c r="D243" s="170" t="s">
        <v>288</v>
      </c>
    </row>
    <row r="244">
      <c r="A244" s="253">
        <v>43331.0</v>
      </c>
      <c r="B244" s="254" t="s">
        <v>461</v>
      </c>
      <c r="C244" s="255">
        <v>-9.03</v>
      </c>
      <c r="D244" s="170" t="s">
        <v>288</v>
      </c>
    </row>
    <row r="245">
      <c r="A245" s="253">
        <v>43331.0</v>
      </c>
      <c r="B245" s="254" t="s">
        <v>463</v>
      </c>
      <c r="C245" s="255">
        <v>-7.53</v>
      </c>
      <c r="D245" s="170" t="s">
        <v>288</v>
      </c>
    </row>
    <row r="246">
      <c r="A246" s="253">
        <v>43331.0</v>
      </c>
      <c r="B246" s="254" t="s">
        <v>463</v>
      </c>
      <c r="C246" s="255">
        <v>-8.56</v>
      </c>
      <c r="D246" s="170" t="s">
        <v>288</v>
      </c>
    </row>
    <row r="247">
      <c r="A247" s="253">
        <v>43329.0</v>
      </c>
      <c r="B247" s="254" t="s">
        <v>462</v>
      </c>
      <c r="C247" s="255">
        <v>-9.02</v>
      </c>
      <c r="D247" s="170" t="s">
        <v>288</v>
      </c>
    </row>
    <row r="248">
      <c r="A248" s="253">
        <v>43329.0</v>
      </c>
      <c r="B248" s="254" t="s">
        <v>461</v>
      </c>
      <c r="C248" s="255">
        <v>-3.45</v>
      </c>
      <c r="D248" s="170" t="s">
        <v>288</v>
      </c>
    </row>
    <row r="249">
      <c r="A249" s="253">
        <v>43329.0</v>
      </c>
      <c r="B249" s="254" t="s">
        <v>475</v>
      </c>
      <c r="C249" s="255">
        <v>-18.81</v>
      </c>
      <c r="D249" s="170" t="s">
        <v>288</v>
      </c>
    </row>
    <row r="250">
      <c r="A250" s="253">
        <v>43327.0</v>
      </c>
      <c r="B250" s="254" t="s">
        <v>462</v>
      </c>
      <c r="C250" s="255">
        <v>-5.29</v>
      </c>
      <c r="D250" s="170" t="s">
        <v>288</v>
      </c>
    </row>
    <row r="251">
      <c r="A251" s="253">
        <v>43327.0</v>
      </c>
      <c r="B251" s="254" t="s">
        <v>476</v>
      </c>
      <c r="C251" s="255">
        <v>-3.04</v>
      </c>
      <c r="D251" s="170" t="s">
        <v>288</v>
      </c>
    </row>
    <row r="252">
      <c r="A252" s="253">
        <v>43327.0</v>
      </c>
      <c r="B252" s="254" t="s">
        <v>461</v>
      </c>
      <c r="C252" s="255">
        <v>-1.21</v>
      </c>
      <c r="D252" s="170" t="s">
        <v>288</v>
      </c>
    </row>
    <row r="253">
      <c r="A253" s="253">
        <v>43327.0</v>
      </c>
      <c r="B253" s="254" t="s">
        <v>461</v>
      </c>
      <c r="C253" s="255">
        <v>-12.81</v>
      </c>
      <c r="D253" s="170" t="s">
        <v>288</v>
      </c>
    </row>
    <row r="254">
      <c r="A254" s="253">
        <v>43327.0</v>
      </c>
      <c r="B254" s="254" t="s">
        <v>461</v>
      </c>
      <c r="C254" s="255">
        <v>-2.8</v>
      </c>
      <c r="D254" s="170" t="s">
        <v>288</v>
      </c>
    </row>
    <row r="255">
      <c r="A255" s="253">
        <v>43327.0</v>
      </c>
      <c r="B255" s="254" t="s">
        <v>461</v>
      </c>
      <c r="C255" s="255">
        <v>-3.59</v>
      </c>
      <c r="D255" s="170" t="s">
        <v>288</v>
      </c>
    </row>
    <row r="256">
      <c r="A256" s="253">
        <v>43327.0</v>
      </c>
      <c r="B256" s="254" t="s">
        <v>461</v>
      </c>
      <c r="C256" s="255">
        <v>-3.94</v>
      </c>
      <c r="D256" s="170" t="s">
        <v>288</v>
      </c>
    </row>
    <row r="257">
      <c r="A257" s="253">
        <v>43327.0</v>
      </c>
      <c r="B257" s="254" t="s">
        <v>461</v>
      </c>
      <c r="C257" s="255">
        <v>-6.04</v>
      </c>
      <c r="D257" s="170" t="s">
        <v>288</v>
      </c>
    </row>
    <row r="258">
      <c r="A258" s="253">
        <v>43327.0</v>
      </c>
      <c r="B258" s="254" t="s">
        <v>461</v>
      </c>
      <c r="C258" s="255">
        <v>-9.31</v>
      </c>
      <c r="D258" s="170" t="s">
        <v>288</v>
      </c>
    </row>
    <row r="259">
      <c r="A259" s="253">
        <v>43327.0</v>
      </c>
      <c r="B259" s="254" t="s">
        <v>477</v>
      </c>
      <c r="C259" s="255">
        <v>500.0</v>
      </c>
      <c r="D259" s="170"/>
    </row>
    <row r="260">
      <c r="A260" s="253">
        <v>43325.0</v>
      </c>
      <c r="B260" s="254" t="s">
        <v>462</v>
      </c>
      <c r="C260" s="255">
        <v>-8.93</v>
      </c>
      <c r="D260" s="170" t="s">
        <v>288</v>
      </c>
    </row>
    <row r="261">
      <c r="A261" s="253">
        <v>43322.0</v>
      </c>
      <c r="B261" s="254" t="s">
        <v>462</v>
      </c>
      <c r="C261" s="255">
        <v>-1.93</v>
      </c>
      <c r="D261" s="170" t="s">
        <v>288</v>
      </c>
    </row>
    <row r="262">
      <c r="A262" s="253">
        <v>43320.0</v>
      </c>
      <c r="B262" s="254" t="s">
        <v>462</v>
      </c>
      <c r="C262" s="255">
        <v>-8.99</v>
      </c>
      <c r="D262" s="170" t="s">
        <v>288</v>
      </c>
    </row>
    <row r="263">
      <c r="A263" s="253">
        <v>43320.0</v>
      </c>
      <c r="B263" s="254" t="s">
        <v>476</v>
      </c>
      <c r="C263" s="255">
        <v>-2.95</v>
      </c>
      <c r="D263" s="170" t="s">
        <v>288</v>
      </c>
    </row>
    <row r="264">
      <c r="A264" s="253">
        <v>43320.0</v>
      </c>
      <c r="B264" s="254" t="s">
        <v>463</v>
      </c>
      <c r="C264" s="255">
        <v>-5.04</v>
      </c>
      <c r="D264" s="170" t="s">
        <v>288</v>
      </c>
    </row>
    <row r="265">
      <c r="A265" s="253">
        <v>43319.0</v>
      </c>
      <c r="B265" s="254" t="s">
        <v>382</v>
      </c>
      <c r="C265" s="255">
        <v>100.0</v>
      </c>
      <c r="D265" s="170"/>
    </row>
    <row r="266">
      <c r="A266" s="165">
        <v>43291.0</v>
      </c>
      <c r="B266" s="256" t="s">
        <v>398</v>
      </c>
      <c r="C266" s="170">
        <v>-340.6</v>
      </c>
      <c r="D266" s="170"/>
    </row>
    <row r="267">
      <c r="A267" s="253">
        <v>43290.0</v>
      </c>
      <c r="B267" s="254" t="s">
        <v>415</v>
      </c>
      <c r="C267" s="255">
        <v>-108000.0</v>
      </c>
      <c r="D267" s="170"/>
    </row>
    <row r="268">
      <c r="A268" s="253">
        <v>43286.0</v>
      </c>
      <c r="B268" s="254" t="s">
        <v>386</v>
      </c>
      <c r="C268" s="255">
        <v>207.0</v>
      </c>
      <c r="D268" s="170"/>
    </row>
    <row r="269">
      <c r="A269" s="253">
        <v>43286.0</v>
      </c>
      <c r="B269" s="254" t="s">
        <v>457</v>
      </c>
      <c r="C269" s="255">
        <v>-890.0</v>
      </c>
      <c r="D269" s="170"/>
    </row>
    <row r="270">
      <c r="A270" s="253">
        <v>43284.0</v>
      </c>
      <c r="B270" s="254" t="s">
        <v>387</v>
      </c>
      <c r="C270" s="255">
        <v>494.4</v>
      </c>
      <c r="D270" s="170"/>
    </row>
    <row r="271">
      <c r="A271" s="165">
        <v>43276.0</v>
      </c>
      <c r="B271" s="256" t="s">
        <v>436</v>
      </c>
      <c r="C271" s="170">
        <v>-0.8</v>
      </c>
      <c r="D271" s="170" t="s">
        <v>288</v>
      </c>
    </row>
    <row r="272">
      <c r="A272" s="253">
        <v>43264.0</v>
      </c>
      <c r="B272" s="254" t="s">
        <v>478</v>
      </c>
      <c r="C272" s="255">
        <v>-866.73</v>
      </c>
      <c r="D272" s="170" t="s">
        <v>288</v>
      </c>
    </row>
    <row r="273">
      <c r="A273" s="253">
        <v>43262.0</v>
      </c>
      <c r="B273" s="254" t="s">
        <v>398</v>
      </c>
      <c r="C273" s="255">
        <v>-340.6</v>
      </c>
      <c r="D273" s="170"/>
    </row>
    <row r="274">
      <c r="A274" s="253">
        <v>43262.0</v>
      </c>
      <c r="B274" s="254" t="s">
        <v>479</v>
      </c>
      <c r="C274" s="255">
        <v>-27.0</v>
      </c>
      <c r="D274" s="170" t="s">
        <v>288</v>
      </c>
    </row>
    <row r="275">
      <c r="A275" s="253">
        <v>43251.0</v>
      </c>
      <c r="B275" s="254" t="s">
        <v>480</v>
      </c>
      <c r="C275" s="255">
        <v>230.0</v>
      </c>
      <c r="D275" s="170"/>
    </row>
    <row r="276">
      <c r="A276" s="253">
        <v>43249.0</v>
      </c>
      <c r="B276" s="254" t="s">
        <v>481</v>
      </c>
      <c r="C276" s="255">
        <v>-20.0</v>
      </c>
      <c r="D276" s="170" t="s">
        <v>288</v>
      </c>
    </row>
    <row r="277">
      <c r="A277" s="253">
        <v>43249.0</v>
      </c>
      <c r="B277" s="254" t="s">
        <v>482</v>
      </c>
      <c r="C277" s="255">
        <v>-42.5</v>
      </c>
      <c r="D277" s="170" t="s">
        <v>288</v>
      </c>
    </row>
    <row r="278">
      <c r="A278" s="253">
        <v>43248.0</v>
      </c>
      <c r="B278" s="254" t="s">
        <v>483</v>
      </c>
      <c r="C278" s="255">
        <v>-5.2</v>
      </c>
      <c r="D278" s="170" t="s">
        <v>288</v>
      </c>
    </row>
    <row r="279">
      <c r="A279" s="253">
        <v>43248.0</v>
      </c>
      <c r="B279" s="254" t="s">
        <v>483</v>
      </c>
      <c r="C279" s="255">
        <v>-0.8</v>
      </c>
      <c r="D279" s="170" t="s">
        <v>288</v>
      </c>
    </row>
    <row r="280">
      <c r="A280" s="253">
        <v>43246.0</v>
      </c>
      <c r="B280" s="254" t="s">
        <v>484</v>
      </c>
      <c r="C280" s="255">
        <v>-22.9</v>
      </c>
      <c r="D280" s="170" t="s">
        <v>288</v>
      </c>
    </row>
    <row r="281">
      <c r="A281" s="253">
        <v>43244.0</v>
      </c>
      <c r="B281" s="254" t="s">
        <v>485</v>
      </c>
      <c r="C281" s="255">
        <v>-20.84</v>
      </c>
      <c r="D281" s="170" t="s">
        <v>288</v>
      </c>
    </row>
    <row r="282">
      <c r="A282" s="253">
        <v>43243.0</v>
      </c>
      <c r="B282" s="254" t="s">
        <v>486</v>
      </c>
      <c r="C282" s="255">
        <v>17.96</v>
      </c>
      <c r="D282" s="170"/>
    </row>
    <row r="283">
      <c r="A283" s="253">
        <v>43243.0</v>
      </c>
      <c r="B283" s="254" t="s">
        <v>409</v>
      </c>
      <c r="C283" s="255">
        <v>35.89</v>
      </c>
      <c r="D283" s="170"/>
    </row>
    <row r="284">
      <c r="A284" s="253">
        <v>43242.0</v>
      </c>
      <c r="B284" s="254" t="s">
        <v>487</v>
      </c>
      <c r="C284" s="255">
        <v>-35.89</v>
      </c>
      <c r="D284" s="170"/>
    </row>
    <row r="285">
      <c r="A285" s="253">
        <v>43229.0</v>
      </c>
      <c r="B285" s="254" t="s">
        <v>382</v>
      </c>
      <c r="C285" s="255">
        <v>100.0</v>
      </c>
      <c r="D285" s="170"/>
    </row>
    <row r="286">
      <c r="A286" s="253">
        <v>43229.0</v>
      </c>
      <c r="B286" s="254" t="s">
        <v>483</v>
      </c>
      <c r="C286" s="255">
        <v>-2.0</v>
      </c>
      <c r="D286" s="170" t="s">
        <v>288</v>
      </c>
    </row>
    <row r="287">
      <c r="A287" s="165">
        <v>43227.0</v>
      </c>
      <c r="B287" s="256" t="s">
        <v>457</v>
      </c>
      <c r="C287" s="170">
        <v>-890.0</v>
      </c>
      <c r="D287" s="170"/>
    </row>
    <row r="288">
      <c r="A288" s="253">
        <v>43227.0</v>
      </c>
      <c r="B288" s="254" t="s">
        <v>488</v>
      </c>
      <c r="C288" s="255">
        <v>700.0</v>
      </c>
      <c r="D288" s="170"/>
    </row>
    <row r="289">
      <c r="A289" s="253">
        <v>43225.0</v>
      </c>
      <c r="B289" s="254" t="s">
        <v>489</v>
      </c>
      <c r="C289" s="255">
        <v>-5.44</v>
      </c>
      <c r="D289" s="170" t="s">
        <v>288</v>
      </c>
    </row>
    <row r="290">
      <c r="A290" s="165">
        <v>43224.0</v>
      </c>
      <c r="B290" s="256" t="s">
        <v>386</v>
      </c>
      <c r="C290" s="170">
        <v>207.0</v>
      </c>
      <c r="D290" s="170"/>
    </row>
    <row r="291">
      <c r="A291" s="253">
        <v>43207.0</v>
      </c>
      <c r="B291" s="254" t="s">
        <v>436</v>
      </c>
      <c r="C291" s="255">
        <v>-0.8</v>
      </c>
      <c r="D291" s="170" t="s">
        <v>288</v>
      </c>
    </row>
    <row r="292">
      <c r="A292" s="253">
        <v>43202.0</v>
      </c>
      <c r="B292" s="254" t="s">
        <v>483</v>
      </c>
      <c r="C292" s="255">
        <v>-2.6</v>
      </c>
      <c r="D292" s="170" t="s">
        <v>288</v>
      </c>
    </row>
    <row r="293">
      <c r="A293" s="253">
        <v>43202.0</v>
      </c>
      <c r="B293" s="254" t="s">
        <v>483</v>
      </c>
      <c r="C293" s="255">
        <v>-1.3</v>
      </c>
      <c r="D293" s="170" t="s">
        <v>288</v>
      </c>
    </row>
    <row r="294">
      <c r="A294" s="253">
        <v>43200.0</v>
      </c>
      <c r="B294" s="254" t="s">
        <v>398</v>
      </c>
      <c r="C294" s="255">
        <v>-340.6</v>
      </c>
      <c r="D294" s="170"/>
    </row>
    <row r="295">
      <c r="A295" s="253">
        <v>43199.0</v>
      </c>
      <c r="B295" s="254" t="s">
        <v>490</v>
      </c>
      <c r="C295" s="255">
        <v>-0.5</v>
      </c>
      <c r="D295" s="170" t="s">
        <v>288</v>
      </c>
    </row>
    <row r="296">
      <c r="A296" s="253">
        <v>43195.0</v>
      </c>
      <c r="B296" s="254" t="s">
        <v>457</v>
      </c>
      <c r="C296" s="255">
        <v>-890.0</v>
      </c>
      <c r="D296" s="170"/>
    </row>
    <row r="297">
      <c r="A297" s="253">
        <v>43195.0</v>
      </c>
      <c r="B297" s="254" t="s">
        <v>386</v>
      </c>
      <c r="C297" s="255">
        <v>207.0</v>
      </c>
      <c r="D297" s="170"/>
    </row>
    <row r="298">
      <c r="A298" s="253">
        <v>43195.0</v>
      </c>
      <c r="B298" s="254" t="s">
        <v>488</v>
      </c>
      <c r="C298" s="255">
        <v>700.0</v>
      </c>
      <c r="D298" s="170"/>
    </row>
    <row r="299">
      <c r="A299" s="257">
        <v>43193.0</v>
      </c>
      <c r="B299" s="258" t="s">
        <v>387</v>
      </c>
      <c r="C299" s="255">
        <v>494.4</v>
      </c>
      <c r="D299" s="259"/>
    </row>
    <row r="300">
      <c r="A300" s="253">
        <v>43193.0</v>
      </c>
      <c r="B300" s="254" t="s">
        <v>387</v>
      </c>
      <c r="C300" s="255">
        <v>505.92</v>
      </c>
      <c r="D300" s="170"/>
    </row>
    <row r="301">
      <c r="A301" s="253">
        <v>43186.0</v>
      </c>
      <c r="B301" s="254" t="s">
        <v>436</v>
      </c>
      <c r="C301" s="255">
        <v>-1.6</v>
      </c>
      <c r="D301" s="170" t="s">
        <v>288</v>
      </c>
    </row>
    <row r="302">
      <c r="A302" s="165">
        <v>43186.0</v>
      </c>
      <c r="B302" s="256" t="s">
        <v>483</v>
      </c>
      <c r="C302" s="170">
        <v>-0.8</v>
      </c>
      <c r="D302" s="170" t="s">
        <v>288</v>
      </c>
    </row>
    <row r="303">
      <c r="A303" s="253">
        <v>43179.0</v>
      </c>
      <c r="B303" s="254" t="s">
        <v>491</v>
      </c>
      <c r="C303" s="255">
        <v>-3.0</v>
      </c>
      <c r="D303" s="170" t="s">
        <v>288</v>
      </c>
    </row>
    <row r="304">
      <c r="A304" s="253">
        <v>43178.0</v>
      </c>
      <c r="B304" s="254" t="s">
        <v>485</v>
      </c>
      <c r="C304" s="255">
        <v>-21.34</v>
      </c>
      <c r="D304" s="170" t="s">
        <v>288</v>
      </c>
    </row>
    <row r="305">
      <c r="A305" s="253">
        <v>43173.0</v>
      </c>
      <c r="B305" s="254" t="s">
        <v>483</v>
      </c>
      <c r="C305" s="255">
        <v>-0.8</v>
      </c>
      <c r="D305" s="170" t="s">
        <v>288</v>
      </c>
    </row>
    <row r="306">
      <c r="A306" s="253">
        <v>43171.0</v>
      </c>
      <c r="B306" s="254" t="s">
        <v>492</v>
      </c>
      <c r="C306" s="255">
        <v>100.0</v>
      </c>
      <c r="D306" s="170"/>
    </row>
    <row r="307">
      <c r="A307" s="253">
        <v>43171.0</v>
      </c>
      <c r="B307" s="254" t="s">
        <v>398</v>
      </c>
      <c r="C307" s="255">
        <v>-340.6</v>
      </c>
      <c r="D307" s="170"/>
    </row>
    <row r="308">
      <c r="A308" s="253">
        <v>43164.0</v>
      </c>
      <c r="B308" s="254" t="s">
        <v>493</v>
      </c>
      <c r="C308" s="255">
        <v>-90.0</v>
      </c>
      <c r="D308" s="170" t="s">
        <v>288</v>
      </c>
    </row>
    <row r="309">
      <c r="A309" s="253">
        <v>43164.0</v>
      </c>
      <c r="B309" s="254" t="s">
        <v>386</v>
      </c>
      <c r="C309" s="255">
        <v>207.0</v>
      </c>
      <c r="D309" s="170"/>
    </row>
    <row r="310">
      <c r="A310" s="165">
        <v>43164.0</v>
      </c>
      <c r="B310" s="256" t="s">
        <v>494</v>
      </c>
      <c r="C310" s="170">
        <v>-285.0</v>
      </c>
      <c r="D310" s="170"/>
    </row>
    <row r="311">
      <c r="A311" s="165">
        <v>43164.0</v>
      </c>
      <c r="B311" s="256" t="s">
        <v>457</v>
      </c>
      <c r="C311" s="170">
        <v>-890.0</v>
      </c>
      <c r="D311" s="170"/>
    </row>
    <row r="312">
      <c r="A312" s="165">
        <v>43164.0</v>
      </c>
      <c r="B312" s="256" t="s">
        <v>488</v>
      </c>
      <c r="C312" s="170">
        <v>700.0</v>
      </c>
      <c r="D312" s="170"/>
    </row>
    <row r="313">
      <c r="A313" s="165">
        <v>43160.0</v>
      </c>
      <c r="B313" s="256" t="s">
        <v>483</v>
      </c>
      <c r="C313" s="170">
        <v>-2.0</v>
      </c>
      <c r="D313" s="170" t="s">
        <v>288</v>
      </c>
    </row>
    <row r="314">
      <c r="A314" s="165">
        <v>43160.0</v>
      </c>
      <c r="B314" s="256" t="s">
        <v>387</v>
      </c>
      <c r="C314" s="170">
        <v>456.96</v>
      </c>
      <c r="D314" s="170"/>
    </row>
    <row r="315">
      <c r="A315" s="253">
        <v>43158.0</v>
      </c>
      <c r="B315" s="254" t="s">
        <v>436</v>
      </c>
      <c r="C315" s="255">
        <v>-3.6</v>
      </c>
      <c r="D315" s="170" t="s">
        <v>288</v>
      </c>
    </row>
    <row r="316">
      <c r="A316" s="253">
        <v>43151.0</v>
      </c>
      <c r="B316" s="254" t="s">
        <v>495</v>
      </c>
      <c r="C316" s="255">
        <v>-1.0</v>
      </c>
      <c r="D316" s="170" t="s">
        <v>288</v>
      </c>
    </row>
    <row r="317">
      <c r="A317" s="253">
        <v>43145.0</v>
      </c>
      <c r="B317" s="254" t="s">
        <v>483</v>
      </c>
      <c r="C317" s="255">
        <v>-0.8</v>
      </c>
      <c r="D317" s="170" t="s">
        <v>288</v>
      </c>
    </row>
    <row r="318">
      <c r="A318" s="253">
        <v>43143.0</v>
      </c>
      <c r="B318" s="254" t="s">
        <v>398</v>
      </c>
      <c r="C318" s="255">
        <v>-340.6</v>
      </c>
      <c r="D318" s="170"/>
    </row>
    <row r="319">
      <c r="A319" s="253">
        <v>43138.0</v>
      </c>
      <c r="B319" s="254" t="s">
        <v>496</v>
      </c>
      <c r="C319" s="255">
        <v>1.32</v>
      </c>
      <c r="D319" s="170"/>
    </row>
    <row r="320">
      <c r="A320" s="253">
        <v>43136.0</v>
      </c>
      <c r="B320" s="254" t="s">
        <v>457</v>
      </c>
      <c r="C320" s="255">
        <v>-890.0</v>
      </c>
      <c r="D320" s="170"/>
    </row>
    <row r="321">
      <c r="A321" s="253">
        <v>43136.0</v>
      </c>
      <c r="B321" s="254" t="s">
        <v>386</v>
      </c>
      <c r="C321" s="255">
        <v>207.0</v>
      </c>
      <c r="D321" s="170"/>
    </row>
    <row r="322">
      <c r="A322" s="253">
        <v>43136.0</v>
      </c>
      <c r="B322" s="254" t="s">
        <v>488</v>
      </c>
      <c r="C322" s="255">
        <v>700.0</v>
      </c>
      <c r="D322" s="170"/>
    </row>
    <row r="323">
      <c r="A323" s="253">
        <v>43134.0</v>
      </c>
      <c r="B323" s="254" t="s">
        <v>497</v>
      </c>
      <c r="C323" s="255">
        <v>1.13</v>
      </c>
      <c r="D323" s="170"/>
    </row>
    <row r="324">
      <c r="A324" s="253">
        <v>43133.0</v>
      </c>
      <c r="B324" s="254" t="s">
        <v>485</v>
      </c>
      <c r="C324" s="255" t="s">
        <v>498</v>
      </c>
      <c r="D324" s="170"/>
    </row>
    <row r="325">
      <c r="A325" s="253">
        <v>43132.0</v>
      </c>
      <c r="B325" s="254" t="s">
        <v>387</v>
      </c>
      <c r="C325" s="255">
        <v>505.92</v>
      </c>
      <c r="D325" s="170"/>
    </row>
    <row r="326">
      <c r="A326" s="253">
        <v>43132.0</v>
      </c>
      <c r="B326" s="254" t="s">
        <v>499</v>
      </c>
      <c r="C326" s="255">
        <v>-6.25</v>
      </c>
      <c r="D326" s="170" t="s">
        <v>288</v>
      </c>
    </row>
    <row r="327">
      <c r="A327" s="253">
        <v>43127.0</v>
      </c>
      <c r="B327" s="254" t="s">
        <v>500</v>
      </c>
      <c r="C327" s="255">
        <v>-3.41</v>
      </c>
      <c r="D327" s="170" t="s">
        <v>288</v>
      </c>
    </row>
    <row r="328">
      <c r="A328" s="253">
        <v>43126.0</v>
      </c>
      <c r="B328" s="254" t="s">
        <v>501</v>
      </c>
      <c r="C328" s="255">
        <v>100.0</v>
      </c>
      <c r="D328" s="170"/>
    </row>
    <row r="329">
      <c r="A329" s="253">
        <v>43124.0</v>
      </c>
      <c r="B329" s="254" t="s">
        <v>408</v>
      </c>
      <c r="C329" s="255">
        <v>20.0</v>
      </c>
      <c r="D329" s="170"/>
    </row>
    <row r="330">
      <c r="A330" s="253">
        <v>43124.0</v>
      </c>
      <c r="B330" s="254" t="s">
        <v>502</v>
      </c>
      <c r="C330" s="255">
        <v>-20.0</v>
      </c>
      <c r="D330" s="170"/>
    </row>
    <row r="331">
      <c r="A331" s="253">
        <v>43116.0</v>
      </c>
      <c r="B331" s="254" t="s">
        <v>503</v>
      </c>
      <c r="C331" s="255">
        <v>-2.9</v>
      </c>
      <c r="D331" s="170" t="s">
        <v>288</v>
      </c>
    </row>
    <row r="332">
      <c r="A332" s="253">
        <v>43116.0</v>
      </c>
      <c r="B332" s="254" t="s">
        <v>503</v>
      </c>
      <c r="C332" s="255">
        <v>-2.74</v>
      </c>
      <c r="D332" s="170" t="s">
        <v>288</v>
      </c>
    </row>
    <row r="333">
      <c r="A333" s="253">
        <v>43115.0</v>
      </c>
      <c r="B333" s="254" t="s">
        <v>504</v>
      </c>
      <c r="C333" s="255">
        <v>-74.82</v>
      </c>
      <c r="D333" s="170" t="s">
        <v>288</v>
      </c>
    </row>
    <row r="334">
      <c r="A334" s="253">
        <v>43112.0</v>
      </c>
      <c r="B334" s="254" t="s">
        <v>457</v>
      </c>
      <c r="C334" s="255" t="s">
        <v>505</v>
      </c>
      <c r="D334" s="170"/>
    </row>
    <row r="335">
      <c r="A335" s="253">
        <v>43111.0</v>
      </c>
      <c r="B335" s="254" t="s">
        <v>408</v>
      </c>
      <c r="C335" s="255">
        <v>400.0</v>
      </c>
      <c r="D335" s="170"/>
    </row>
    <row r="336">
      <c r="A336" s="253">
        <v>43111.0</v>
      </c>
      <c r="B336" s="254" t="s">
        <v>506</v>
      </c>
      <c r="C336" s="255">
        <v>-2.01</v>
      </c>
      <c r="D336" s="170" t="s">
        <v>288</v>
      </c>
    </row>
    <row r="337">
      <c r="A337" s="253">
        <v>43111.0</v>
      </c>
      <c r="B337" s="254" t="s">
        <v>507</v>
      </c>
      <c r="C337" s="255">
        <v>-2.39</v>
      </c>
      <c r="D337" s="170" t="s">
        <v>288</v>
      </c>
    </row>
    <row r="338">
      <c r="A338" s="253">
        <v>43110.0</v>
      </c>
      <c r="B338" s="254" t="s">
        <v>508</v>
      </c>
      <c r="C338" s="255">
        <v>-400.0</v>
      </c>
      <c r="D338" s="170"/>
    </row>
    <row r="339">
      <c r="A339" s="253">
        <v>43110.0</v>
      </c>
      <c r="B339" s="254" t="s">
        <v>398</v>
      </c>
      <c r="C339" s="255">
        <v>-340.6</v>
      </c>
      <c r="D339" s="170"/>
    </row>
    <row r="340">
      <c r="A340" s="253">
        <v>43109.0</v>
      </c>
      <c r="B340" s="254" t="s">
        <v>509</v>
      </c>
      <c r="C340" s="255">
        <v>-3.19</v>
      </c>
      <c r="D340" s="170" t="s">
        <v>288</v>
      </c>
    </row>
    <row r="341">
      <c r="A341" s="253">
        <v>43109.0</v>
      </c>
      <c r="B341" s="254" t="s">
        <v>509</v>
      </c>
      <c r="C341" s="255">
        <v>-2.94</v>
      </c>
      <c r="D341" s="170" t="s">
        <v>288</v>
      </c>
    </row>
    <row r="342">
      <c r="A342" s="253">
        <v>43109.0</v>
      </c>
      <c r="B342" s="254" t="s">
        <v>509</v>
      </c>
      <c r="C342" s="255">
        <v>-1.13</v>
      </c>
      <c r="D342" s="170" t="s">
        <v>288</v>
      </c>
    </row>
    <row r="343">
      <c r="A343" s="253">
        <v>43108.0</v>
      </c>
      <c r="B343" s="254" t="s">
        <v>510</v>
      </c>
      <c r="C343" s="255">
        <v>-3.95</v>
      </c>
      <c r="D343" s="170" t="s">
        <v>288</v>
      </c>
    </row>
    <row r="344">
      <c r="A344" s="253">
        <v>43107.0</v>
      </c>
      <c r="B344" s="254" t="s">
        <v>511</v>
      </c>
      <c r="C344" s="255">
        <v>-7.37</v>
      </c>
      <c r="D344" s="170" t="s">
        <v>288</v>
      </c>
    </row>
    <row r="345">
      <c r="A345" s="165">
        <v>43105.0</v>
      </c>
      <c r="B345" s="143" t="s">
        <v>386</v>
      </c>
      <c r="C345" s="171">
        <v>207.0</v>
      </c>
      <c r="D345" s="171"/>
    </row>
    <row r="346">
      <c r="A346" s="165">
        <v>43105.0</v>
      </c>
      <c r="B346" s="166" t="s">
        <v>512</v>
      </c>
      <c r="C346" s="170">
        <v>40.0</v>
      </c>
      <c r="D346" s="171"/>
    </row>
    <row r="347">
      <c r="A347" s="165">
        <v>43105.0</v>
      </c>
      <c r="B347" s="166" t="s">
        <v>457</v>
      </c>
      <c r="C347" s="170">
        <v>890.0</v>
      </c>
      <c r="D347" s="171"/>
    </row>
    <row r="348">
      <c r="A348" s="165">
        <v>43105.0</v>
      </c>
      <c r="B348" s="166" t="s">
        <v>488</v>
      </c>
      <c r="C348" s="170">
        <v>700.0</v>
      </c>
      <c r="D348" s="171"/>
    </row>
    <row r="349">
      <c r="A349" s="253">
        <v>43104.0</v>
      </c>
      <c r="B349" s="254" t="s">
        <v>500</v>
      </c>
      <c r="C349" s="255">
        <v>-3.8</v>
      </c>
      <c r="D349" s="170" t="s">
        <v>288</v>
      </c>
    </row>
    <row r="350">
      <c r="A350" s="253">
        <v>43104.0</v>
      </c>
      <c r="B350" s="260" t="s">
        <v>415</v>
      </c>
      <c r="C350" s="255">
        <v>-30000.0</v>
      </c>
      <c r="D350" s="170"/>
    </row>
    <row r="351">
      <c r="A351" s="253">
        <v>43103.0</v>
      </c>
      <c r="B351" s="260" t="s">
        <v>513</v>
      </c>
      <c r="C351" s="255">
        <v>5000.0</v>
      </c>
      <c r="D351" s="170"/>
    </row>
    <row r="352">
      <c r="A352" s="253">
        <v>43103.0</v>
      </c>
      <c r="B352" s="260" t="s">
        <v>514</v>
      </c>
      <c r="C352" s="255">
        <v>505.92</v>
      </c>
      <c r="D352" s="170"/>
    </row>
    <row r="353">
      <c r="A353" s="253">
        <v>43102.0</v>
      </c>
      <c r="B353" s="260" t="s">
        <v>515</v>
      </c>
      <c r="C353" s="255">
        <v>400.0</v>
      </c>
      <c r="D353" s="170"/>
    </row>
    <row r="354">
      <c r="A354" s="253">
        <v>43102.0</v>
      </c>
      <c r="B354" s="260" t="s">
        <v>513</v>
      </c>
      <c r="C354" s="255">
        <v>25000.0</v>
      </c>
      <c r="D354" s="170"/>
    </row>
    <row r="355">
      <c r="A355" s="253">
        <v>43096.0</v>
      </c>
      <c r="B355" s="260" t="s">
        <v>446</v>
      </c>
      <c r="C355" s="255">
        <v>-259.0</v>
      </c>
      <c r="D355" s="170"/>
    </row>
    <row r="356">
      <c r="A356" s="253">
        <v>43088.0</v>
      </c>
      <c r="B356" s="260" t="s">
        <v>516</v>
      </c>
      <c r="C356" s="255">
        <v>110.0</v>
      </c>
      <c r="D356" s="170"/>
    </row>
    <row r="357">
      <c r="A357" s="253">
        <v>43083.0</v>
      </c>
      <c r="B357" s="260" t="s">
        <v>517</v>
      </c>
      <c r="C357" s="255">
        <v>-6.05</v>
      </c>
      <c r="D357" s="170" t="s">
        <v>288</v>
      </c>
    </row>
    <row r="358">
      <c r="A358" s="253">
        <v>43083.0</v>
      </c>
      <c r="B358" s="260" t="s">
        <v>518</v>
      </c>
      <c r="C358" s="255">
        <v>-9.35</v>
      </c>
      <c r="D358" s="170" t="s">
        <v>288</v>
      </c>
    </row>
    <row r="359">
      <c r="A359" s="253">
        <v>43083.0</v>
      </c>
      <c r="B359" s="260" t="s">
        <v>514</v>
      </c>
      <c r="C359" s="255">
        <v>152.45</v>
      </c>
      <c r="D359" s="170"/>
    </row>
    <row r="360">
      <c r="A360" s="253">
        <v>43080.0</v>
      </c>
      <c r="B360" s="260" t="s">
        <v>398</v>
      </c>
      <c r="C360" s="255">
        <v>-340.6</v>
      </c>
      <c r="D360" s="170"/>
    </row>
    <row r="361">
      <c r="A361" s="165">
        <v>43080.0</v>
      </c>
      <c r="B361" s="55" t="s">
        <v>509</v>
      </c>
      <c r="C361" s="170">
        <v>-1.32</v>
      </c>
      <c r="D361" s="170" t="s">
        <v>288</v>
      </c>
    </row>
    <row r="362">
      <c r="A362" s="165">
        <v>43076.0</v>
      </c>
      <c r="B362" s="55" t="s">
        <v>519</v>
      </c>
      <c r="C362" s="170">
        <v>35.1</v>
      </c>
      <c r="D362" s="170"/>
    </row>
    <row r="363">
      <c r="A363" s="165">
        <v>43075.0</v>
      </c>
      <c r="B363" s="55" t="s">
        <v>520</v>
      </c>
      <c r="C363" s="170">
        <v>700.0</v>
      </c>
      <c r="D363" s="170"/>
    </row>
    <row r="364">
      <c r="A364" s="165">
        <v>43074.0</v>
      </c>
      <c r="B364" s="55" t="s">
        <v>386</v>
      </c>
      <c r="C364" s="170">
        <v>207.0</v>
      </c>
      <c r="D364" s="170"/>
    </row>
    <row r="365">
      <c r="A365" s="165">
        <v>43074.0</v>
      </c>
      <c r="B365" s="55" t="s">
        <v>521</v>
      </c>
      <c r="C365" s="170">
        <v>-101.0</v>
      </c>
      <c r="D365" s="170" t="s">
        <v>288</v>
      </c>
    </row>
    <row r="366">
      <c r="A366" s="165">
        <v>43074.0</v>
      </c>
      <c r="B366" s="55" t="s">
        <v>457</v>
      </c>
      <c r="C366" s="170">
        <v>-890.0</v>
      </c>
      <c r="D366" s="170"/>
    </row>
    <row r="367">
      <c r="A367" s="165">
        <v>43073.0</v>
      </c>
      <c r="B367" s="55" t="s">
        <v>459</v>
      </c>
      <c r="C367" s="170">
        <v>1.0</v>
      </c>
      <c r="D367" s="170"/>
    </row>
    <row r="368">
      <c r="A368" s="165">
        <v>43073.0</v>
      </c>
      <c r="B368" s="55" t="s">
        <v>522</v>
      </c>
      <c r="C368" s="170">
        <v>-38.0</v>
      </c>
      <c r="D368" s="170" t="s">
        <v>288</v>
      </c>
    </row>
    <row r="369">
      <c r="A369" s="165">
        <v>43073.0</v>
      </c>
      <c r="B369" s="55" t="s">
        <v>459</v>
      </c>
      <c r="C369" s="170">
        <v>-1.0</v>
      </c>
      <c r="D369" s="170"/>
    </row>
    <row r="370">
      <c r="A370" s="165">
        <v>43073.0</v>
      </c>
      <c r="B370" s="55" t="s">
        <v>514</v>
      </c>
      <c r="C370" s="170">
        <v>489.6</v>
      </c>
      <c r="D370" s="170"/>
    </row>
    <row r="371">
      <c r="A371" s="165">
        <v>43069.0</v>
      </c>
      <c r="B371" s="55" t="s">
        <v>509</v>
      </c>
      <c r="C371" s="170">
        <v>-21.99</v>
      </c>
      <c r="D371" s="170" t="s">
        <v>288</v>
      </c>
    </row>
    <row r="372">
      <c r="A372" s="165">
        <v>43068.0</v>
      </c>
      <c r="B372" s="55" t="s">
        <v>415</v>
      </c>
      <c r="C372" s="170">
        <v>-10000.0</v>
      </c>
      <c r="D372" s="170"/>
    </row>
    <row r="373">
      <c r="A373" s="165">
        <v>43068.0</v>
      </c>
      <c r="B373" s="55" t="s">
        <v>523</v>
      </c>
      <c r="C373" s="170">
        <v>10000.0</v>
      </c>
      <c r="D373" s="170"/>
    </row>
    <row r="374">
      <c r="A374" s="165">
        <v>43067.0</v>
      </c>
      <c r="B374" s="55" t="s">
        <v>524</v>
      </c>
      <c r="C374" s="170">
        <v>-989.01</v>
      </c>
      <c r="D374" s="170"/>
    </row>
    <row r="375">
      <c r="A375" s="165">
        <v>43063.0</v>
      </c>
      <c r="B375" s="55" t="s">
        <v>509</v>
      </c>
      <c r="C375" s="170">
        <v>-83.27</v>
      </c>
      <c r="D375" s="170" t="s">
        <v>288</v>
      </c>
    </row>
    <row r="376">
      <c r="A376" s="165">
        <v>43061.0</v>
      </c>
      <c r="B376" s="55" t="s">
        <v>525</v>
      </c>
      <c r="C376" s="170">
        <v>-5.3</v>
      </c>
      <c r="D376" s="170" t="s">
        <v>288</v>
      </c>
    </row>
    <row r="377">
      <c r="A377" s="165">
        <v>43056.0</v>
      </c>
      <c r="B377" s="55" t="s">
        <v>485</v>
      </c>
      <c r="C377" s="170">
        <v>-19.79</v>
      </c>
      <c r="D377" s="170" t="s">
        <v>288</v>
      </c>
    </row>
    <row r="378">
      <c r="A378" s="165">
        <v>43055.0</v>
      </c>
      <c r="B378" s="55" t="s">
        <v>415</v>
      </c>
      <c r="C378" s="170">
        <v>-1000.0</v>
      </c>
      <c r="D378" s="170"/>
    </row>
    <row r="379">
      <c r="A379" s="165">
        <v>43053.0</v>
      </c>
      <c r="B379" s="55" t="s">
        <v>515</v>
      </c>
      <c r="C379" s="170">
        <v>1350.0</v>
      </c>
      <c r="D379" s="170"/>
    </row>
    <row r="380">
      <c r="A380" s="165">
        <v>43053.0</v>
      </c>
      <c r="B380" s="55" t="s">
        <v>409</v>
      </c>
      <c r="C380" s="170">
        <v>-1000.0</v>
      </c>
      <c r="D380" s="170"/>
    </row>
    <row r="381">
      <c r="A381" s="165">
        <v>43053.0</v>
      </c>
      <c r="B381" s="55" t="s">
        <v>408</v>
      </c>
      <c r="C381" s="170">
        <v>1000.0</v>
      </c>
      <c r="D381" s="170"/>
    </row>
    <row r="382">
      <c r="A382" s="165">
        <v>43052.0</v>
      </c>
      <c r="B382" s="55" t="s">
        <v>526</v>
      </c>
      <c r="C382" s="170">
        <v>192.8</v>
      </c>
      <c r="D382" s="170"/>
    </row>
    <row r="383">
      <c r="A383" s="165">
        <v>43049.0</v>
      </c>
      <c r="B383" s="55" t="s">
        <v>398</v>
      </c>
      <c r="C383" s="170">
        <v>-340.6</v>
      </c>
      <c r="D383" s="170"/>
    </row>
    <row r="384">
      <c r="A384" s="165">
        <v>43048.0</v>
      </c>
      <c r="B384" s="55" t="s">
        <v>527</v>
      </c>
      <c r="C384" s="170">
        <v>700.0</v>
      </c>
      <c r="D384" s="170"/>
    </row>
    <row r="385">
      <c r="A385" s="165">
        <v>43045.0</v>
      </c>
      <c r="B385" s="55" t="s">
        <v>457</v>
      </c>
      <c r="C385" s="170">
        <v>-890.0</v>
      </c>
      <c r="D385" s="170"/>
    </row>
    <row r="386">
      <c r="A386" s="165">
        <v>43041.0</v>
      </c>
      <c r="B386" s="55" t="s">
        <v>514</v>
      </c>
      <c r="C386" s="170">
        <v>505.92</v>
      </c>
      <c r="D386" s="170"/>
    </row>
  </sheetData>
  <autoFilter ref="$A$1:$D$386">
    <sortState ref="A1:D386">
      <sortCondition descending="1" ref="A1:A386"/>
    </sortState>
  </autoFilter>
  <hyperlinks>
    <hyperlink r:id="rId1" ref="B101"/>
    <hyperlink r:id="rId2" ref="B327"/>
    <hyperlink r:id="rId3" ref="B349"/>
  </hyperlinks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7" t="s">
        <v>528</v>
      </c>
      <c r="B1" s="57" t="s">
        <v>530</v>
      </c>
    </row>
    <row r="2">
      <c r="A2" s="23" t="s">
        <v>531</v>
      </c>
      <c r="B2" s="261">
        <v>-16.6</v>
      </c>
    </row>
    <row r="3">
      <c r="A3" s="23" t="s">
        <v>532</v>
      </c>
      <c r="B3" s="261">
        <v>0.35</v>
      </c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9.0"/>
    <col customWidth="1" min="3" max="3" width="12.14"/>
    <col customWidth="1" min="4" max="5" width="10.43"/>
    <col customWidth="1" min="6" max="6" width="11.57"/>
    <col customWidth="1" min="7" max="7" width="8.43"/>
    <col customWidth="1" min="8" max="8" width="6.43"/>
    <col customWidth="1" min="9" max="9" width="14.0"/>
    <col customWidth="1" min="10" max="10" width="11.57"/>
  </cols>
  <sheetData>
    <row r="1">
      <c r="A1" s="57" t="s">
        <v>61</v>
      </c>
      <c r="B1" s="57" t="s">
        <v>533</v>
      </c>
      <c r="C1" s="57" t="s">
        <v>534</v>
      </c>
      <c r="D1" s="57" t="s">
        <v>535</v>
      </c>
      <c r="E1" s="57" t="s">
        <v>536</v>
      </c>
      <c r="F1" s="57" t="s">
        <v>537</v>
      </c>
      <c r="G1" s="57" t="s">
        <v>373</v>
      </c>
      <c r="H1" s="57" t="s">
        <v>244</v>
      </c>
      <c r="I1" s="57" t="s">
        <v>538</v>
      </c>
      <c r="J1" s="57" t="s">
        <v>539</v>
      </c>
    </row>
    <row r="2">
      <c r="A2" s="262" t="s">
        <v>531</v>
      </c>
      <c r="B2" s="263">
        <v>0.0</v>
      </c>
      <c r="C2" s="264">
        <v>36.0</v>
      </c>
      <c r="D2" s="165">
        <v>43286.0</v>
      </c>
      <c r="E2" s="165">
        <f t="shared" ref="E2:E3" si="1">IF(AND($C2&lt;&gt;"",$D2&lt;&gt;""),DATE(YEAR($D2+DATE(0,$C2,0)),MONTH($D2+DATE(0,$C2,0)),DAY($D2)),"")</f>
        <v>44352</v>
      </c>
      <c r="F2" s="31">
        <f t="shared" ref="F2:F3" si="2">IF($C2,ABS($C2*$B2),"")</f>
        <v>0</v>
      </c>
      <c r="G2" s="31" t="str">
        <f t="shared" ref="G2:G3" si="3">IF(AND($F2&lt;&gt;"",$B2&lt;0),MOD(ABS($F2),1000),"")</f>
        <v/>
      </c>
      <c r="H2" s="159" t="str">
        <f t="shared" ref="H2:H3" si="4">IF($G2,$G2/($F2-$G2)/($C2/23),"")</f>
        <v/>
      </c>
      <c r="I2">
        <f>IF(AND($E2&lt;&gt;"",$E2&gt;=DateTime!$B$2),DATEDIF(DateTime!$B$2+1,$E2,"M")+1,)</f>
        <v>19</v>
      </c>
      <c r="J2" s="243">
        <f>IF(AND($E2&lt;&gt;"",$E2&gt;=DateTime!$B$2),$I2*$B2,)</f>
        <v>0</v>
      </c>
    </row>
    <row r="3">
      <c r="A3" s="262" t="s">
        <v>540</v>
      </c>
      <c r="B3" s="263">
        <f>-918.56-B2</f>
        <v>-918.56</v>
      </c>
      <c r="E3" s="165" t="str">
        <f t="shared" si="1"/>
        <v/>
      </c>
      <c r="F3" s="31" t="str">
        <f t="shared" si="2"/>
        <v/>
      </c>
      <c r="G3" s="31" t="str">
        <f t="shared" si="3"/>
        <v/>
      </c>
      <c r="H3" s="159" t="str">
        <f t="shared" si="4"/>
        <v/>
      </c>
      <c r="I3" t="str">
        <f>IF(AND($E3&lt;&gt;"",$E3&gt;=DateTime!$B$2),DATEDIF(DateTime!$B$2+1,$E3,"M")+1,)</f>
        <v/>
      </c>
      <c r="J3" s="265" t="str">
        <f>IF(AND($E3&lt;&gt;"",$E3&gt;=DateTime!$B$2),$I3*$B3,)</f>
        <v/>
      </c>
    </row>
    <row r="4">
      <c r="A4" s="262" t="s">
        <v>542</v>
      </c>
      <c r="B4" s="263">
        <v>-300.0</v>
      </c>
      <c r="E4" s="165"/>
      <c r="F4" s="31"/>
      <c r="G4" s="31"/>
      <c r="H4" s="159"/>
      <c r="J4" s="265"/>
    </row>
    <row r="5">
      <c r="A5" s="262" t="s">
        <v>543</v>
      </c>
      <c r="B5" s="263">
        <f>16.48*DAY(EOMONTH(DateTime!$B$2,0))</f>
        <v>494.4</v>
      </c>
      <c r="E5" s="165" t="str">
        <f t="shared" ref="E5:E7" si="5">IF(AND($C5&lt;&gt;"",$D5&lt;&gt;""),DATE(YEAR($D5+DATE(0,$C5,0)),MONTH($D5+DATE(0,$C5,0)),DAY($D5)),"")</f>
        <v/>
      </c>
      <c r="F5" s="31" t="str">
        <f t="shared" ref="F5:F7" si="6">IF($C5,ABS($C5*$B5),"")</f>
        <v/>
      </c>
      <c r="G5" s="31" t="str">
        <f t="shared" ref="G5:G7" si="7">IF(AND($F5&lt;&gt;"",$B5&lt;0),MOD(ABS($F5),1000),"")</f>
        <v/>
      </c>
      <c r="H5" s="159" t="str">
        <f t="shared" ref="H5:H7" si="8">IF($G5,$G5/($F5-$G5)/($C5/23),"")</f>
        <v/>
      </c>
      <c r="I5" t="str">
        <f>IF(AND($E5&lt;&gt;"",$E5&gt;=DateTime!$B$2),DATEDIF(DateTime!$B$2+1,$E5,"M")+1,)</f>
        <v/>
      </c>
      <c r="J5" s="265" t="str">
        <f>IF(AND($E5&lt;&gt;"",$E5&gt;=DateTime!$B$2),$I5*$B5,)</f>
        <v/>
      </c>
    </row>
    <row r="6">
      <c r="A6" s="262" t="s">
        <v>545</v>
      </c>
      <c r="B6" s="263">
        <v>207.0</v>
      </c>
      <c r="E6" s="165" t="str">
        <f t="shared" si="5"/>
        <v/>
      </c>
      <c r="F6" s="31" t="str">
        <f t="shared" si="6"/>
        <v/>
      </c>
      <c r="G6" s="31" t="str">
        <f t="shared" si="7"/>
        <v/>
      </c>
      <c r="H6" s="159" t="str">
        <f t="shared" si="8"/>
        <v/>
      </c>
      <c r="I6" t="str">
        <f>IF(AND($E6&lt;&gt;"",$E6&gt;=DateTime!$B$2),DATEDIF(DateTime!$B$2+1,$E6,"M")+1,)</f>
        <v/>
      </c>
      <c r="J6" s="265" t="str">
        <f>IF(AND($E6&lt;&gt;"",$E6&gt;=DateTime!$B$2),$I6*$B6,)</f>
        <v/>
      </c>
    </row>
    <row r="7">
      <c r="A7" s="262" t="s">
        <v>546</v>
      </c>
      <c r="B7" s="263">
        <v>100.0</v>
      </c>
      <c r="C7" s="55">
        <v>135.0</v>
      </c>
      <c r="D7" s="165">
        <v>42861.0</v>
      </c>
      <c r="E7" s="165">
        <f t="shared" si="5"/>
        <v>46940</v>
      </c>
      <c r="F7" s="31">
        <f t="shared" si="6"/>
        <v>13500</v>
      </c>
      <c r="G7" s="31" t="str">
        <f t="shared" si="7"/>
        <v/>
      </c>
      <c r="H7" s="159" t="str">
        <f t="shared" si="8"/>
        <v/>
      </c>
      <c r="I7">
        <f>IF(AND($E7&lt;&gt;"",$E7&gt;=DateTime!$B$2),DATEDIF(DateTime!$B$2+1,$E7,"M")+1,)</f>
        <v>104</v>
      </c>
      <c r="J7" s="243">
        <f>IF(AND($E7&lt;&gt;"",$E7&gt;=DateTime!$B$2),$I7*$B7,)</f>
        <v>10400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266" t="s">
        <v>2</v>
      </c>
      <c r="B1" s="266" t="str">
        <f t="array" ref="B1:F1">TRANSPOSE(OFFSET(Investment!$A:$A,1,0,ROWS(Investment!$A:$A)-2,1))</f>
        <v>Long term US bonds (20-25 year)</v>
      </c>
      <c r="C1" s="266" t="s">
        <v>138</v>
      </c>
      <c r="D1" s="266" t="s">
        <v>127</v>
      </c>
      <c r="E1" s="266" t="s">
        <v>122</v>
      </c>
      <c r="F1" s="266" t="s">
        <v>118</v>
      </c>
      <c r="G1" s="267" t="str">
        <f>OFFSET(B1,0,0,1,COLUMN()-2)</f>
        <v>Long term US bonds (20-25 year)</v>
      </c>
      <c r="H1" s="266" t="s">
        <v>138</v>
      </c>
      <c r="I1" s="266" t="s">
        <v>127</v>
      </c>
      <c r="J1" s="266" t="s">
        <v>122</v>
      </c>
      <c r="K1" s="266" t="s">
        <v>118</v>
      </c>
    </row>
    <row r="2">
      <c r="A2" s="220">
        <f>DateTime!$B$1-TIME(2,0,0)</f>
        <v>43781.41772</v>
      </c>
      <c r="B2" s="268">
        <f t="array" ref="B2:F2">TRANSPOSE(OFFSET(Investment!$M:$M,1,0,ROWS(Investment!$M:$M)-2,1))</f>
        <v>4.616</v>
      </c>
      <c r="C2" s="268">
        <v>53.285</v>
      </c>
      <c r="D2" s="268">
        <v>185.27</v>
      </c>
      <c r="E2" s="268">
        <v>125.62</v>
      </c>
      <c r="F2" s="269">
        <v>7.38</v>
      </c>
      <c r="G2" s="270">
        <f t="shared" ref="G2:K2" si="1">SUM(1-INDEX(B:B,5)/INDEX(B:B,4)+1-INDEX(B:B,4)/INDEX(B:B,3)+1-INDEX(B:B,3)/INDEX(B:B,2))/3</f>
        <v>-0.0003054749497</v>
      </c>
      <c r="H2" s="221">
        <f t="shared" si="1"/>
        <v>0.0004212841848</v>
      </c>
      <c r="I2" s="221">
        <f t="shared" si="1"/>
        <v>0.0002652298162</v>
      </c>
      <c r="J2" s="221">
        <f t="shared" si="1"/>
        <v>-0.003080960641</v>
      </c>
      <c r="K2" s="221">
        <f t="shared" si="1"/>
        <v>-0.002931574444</v>
      </c>
    </row>
    <row r="3">
      <c r="A3" s="165">
        <v>43780.97593681713</v>
      </c>
      <c r="B3" s="271">
        <v>4.597</v>
      </c>
      <c r="C3" s="271">
        <v>53.043</v>
      </c>
      <c r="D3" s="271">
        <v>185.1</v>
      </c>
      <c r="E3" s="271">
        <v>125.54</v>
      </c>
      <c r="F3" s="272">
        <v>7.372</v>
      </c>
      <c r="G3" s="273">
        <v>-0.006078668634499462</v>
      </c>
      <c r="H3" s="223">
        <v>0.0018325426791294674</v>
      </c>
      <c r="I3" s="223">
        <v>-0.001355092790831569</v>
      </c>
      <c r="J3" s="223">
        <v>-0.006658650960322698</v>
      </c>
      <c r="K3" s="223">
        <v>-0.003830184728702779</v>
      </c>
    </row>
    <row r="4">
      <c r="A4" s="165">
        <v>43777.97559938657</v>
      </c>
      <c r="B4" s="271">
        <v>4.636</v>
      </c>
      <c r="C4" s="271">
        <v>53.146</v>
      </c>
      <c r="D4" s="271">
        <v>185.8</v>
      </c>
      <c r="E4" s="271">
        <v>126.81</v>
      </c>
      <c r="F4" s="272">
        <v>7.415</v>
      </c>
      <c r="G4" s="273">
        <v>-0.0016841205552145337</v>
      </c>
      <c r="H4" s="223">
        <v>0.002151222277925339</v>
      </c>
      <c r="I4" s="223">
        <v>2.103924655582808E-4</v>
      </c>
      <c r="J4" s="223">
        <v>-0.002089196355871977</v>
      </c>
      <c r="K4" s="223">
        <v>-0.0025564019340302835</v>
      </c>
    </row>
    <row r="5">
      <c r="A5" s="165">
        <v>43776.97559756944</v>
      </c>
      <c r="B5" s="271">
        <v>4.62</v>
      </c>
      <c r="C5" s="271">
        <v>53.217</v>
      </c>
      <c r="D5" s="271">
        <v>185.12</v>
      </c>
      <c r="E5" s="271">
        <v>126.78</v>
      </c>
      <c r="F5" s="272">
        <v>7.445</v>
      </c>
      <c r="G5" s="273">
        <v>-0.004694736479576411</v>
      </c>
      <c r="H5" s="223">
        <v>0.004477778316084868</v>
      </c>
      <c r="I5" s="223">
        <v>-4.7099633611469294E-4</v>
      </c>
      <c r="J5" s="223">
        <v>-0.005015494406493959</v>
      </c>
      <c r="K5" s="223">
        <v>4.4282244235442175E-4</v>
      </c>
    </row>
    <row r="6">
      <c r="A6" s="165">
        <v>43775.97560157407</v>
      </c>
      <c r="B6" s="271">
        <v>4.681</v>
      </c>
      <c r="C6" s="271">
        <v>52.75</v>
      </c>
      <c r="D6" s="271">
        <v>185.85</v>
      </c>
      <c r="E6" s="271">
        <v>128.06</v>
      </c>
      <c r="F6" s="272">
        <v>7.457</v>
      </c>
      <c r="G6" s="273">
        <v>-0.002748224554409262</v>
      </c>
      <c r="H6" s="223">
        <v>0.004606383463710451</v>
      </c>
      <c r="I6" s="223">
        <v>1.961473343618699E-4</v>
      </c>
      <c r="J6" s="223">
        <v>-0.001960908971970617</v>
      </c>
      <c r="K6" s="223">
        <v>0.005015065517891992</v>
      </c>
    </row>
    <row r="7">
      <c r="A7" s="165">
        <v>43774.975603935185</v>
      </c>
      <c r="B7" s="271">
        <v>4.659</v>
      </c>
      <c r="C7" s="271">
        <v>52.802</v>
      </c>
      <c r="D7" s="271">
        <v>185.68</v>
      </c>
      <c r="E7" s="271">
        <v>127.6</v>
      </c>
      <c r="F7" s="272">
        <v>7.472</v>
      </c>
      <c r="G7" s="273">
        <v>-0.0068927980786303395</v>
      </c>
      <c r="H7" s="223">
        <v>0.00795287339119699</v>
      </c>
      <c r="I7" s="223">
        <v>-0.0012752632058581348</v>
      </c>
      <c r="J7" s="223">
        <v>-0.0038310899870683812</v>
      </c>
      <c r="K7" s="223">
        <v>0.008953105378465942</v>
      </c>
    </row>
    <row r="8">
      <c r="A8" s="165">
        <v>43773.97487291667</v>
      </c>
      <c r="B8" s="271">
        <v>4.685</v>
      </c>
      <c r="C8" s="271">
        <v>52.504</v>
      </c>
      <c r="D8" s="271">
        <v>185.38</v>
      </c>
      <c r="E8" s="271">
        <v>128.69</v>
      </c>
      <c r="F8" s="272">
        <v>7.435</v>
      </c>
      <c r="G8" s="273">
        <v>2.9400580974744034E-4</v>
      </c>
      <c r="H8" s="223">
        <v>0.004287025684160506</v>
      </c>
      <c r="I8" s="223">
        <v>-2.2217941176279807E-4</v>
      </c>
      <c r="J8" s="223">
        <v>0.0020121403273122653</v>
      </c>
      <c r="K8" s="223">
        <v>0.004002622414332284</v>
      </c>
    </row>
    <row r="9">
      <c r="A9" s="165">
        <v>43770.97546878472</v>
      </c>
      <c r="B9" s="271">
        <v>4.7195</v>
      </c>
      <c r="C9" s="271">
        <v>52.023</v>
      </c>
      <c r="D9" s="271">
        <v>185.74</v>
      </c>
      <c r="E9" s="271">
        <v>128.81</v>
      </c>
      <c r="F9" s="272">
        <v>7.345</v>
      </c>
      <c r="G9" s="273">
        <v>0.004671725208811613</v>
      </c>
      <c r="H9" s="223">
        <v>-4.01528308424659E-5</v>
      </c>
      <c r="I9" s="223">
        <v>8.743759069206695E-4</v>
      </c>
      <c r="J9" s="223">
        <v>0.0031308244822108033</v>
      </c>
      <c r="K9" s="223">
        <v>-8.038472099388313E-4</v>
      </c>
    </row>
    <row r="10">
      <c r="A10" s="165">
        <v>43769.97547957176</v>
      </c>
      <c r="B10" s="271">
        <v>4.756</v>
      </c>
      <c r="C10" s="271">
        <v>51.552</v>
      </c>
      <c r="D10" s="271">
        <v>186.39</v>
      </c>
      <c r="E10" s="271">
        <v>129.07</v>
      </c>
      <c r="F10" s="272">
        <v>7.273</v>
      </c>
      <c r="G10" s="273">
        <v>0.007894427238861135</v>
      </c>
      <c r="H10" s="223">
        <v>-0.0026287762182729915</v>
      </c>
      <c r="I10" s="223">
        <v>0.0022028243773276612</v>
      </c>
      <c r="J10" s="223">
        <v>0.002915457823486012</v>
      </c>
      <c r="K10" s="223">
        <v>-0.003528045524504364</v>
      </c>
    </row>
    <row r="11">
      <c r="A11" s="165">
        <v>43768.975503946756</v>
      </c>
      <c r="B11" s="271">
        <v>4.68</v>
      </c>
      <c r="C11" s="271">
        <v>51.828</v>
      </c>
      <c r="D11" s="271">
        <v>185.5</v>
      </c>
      <c r="E11" s="271">
        <v>127.91</v>
      </c>
      <c r="F11" s="272">
        <v>7.345</v>
      </c>
      <c r="G11" s="273">
        <v>-0.002456582000537185</v>
      </c>
      <c r="H11" s="223">
        <v>2.4001779062121642E-4</v>
      </c>
      <c r="I11" s="223">
        <v>-0.0014771043884939476</v>
      </c>
      <c r="J11" s="223">
        <v>-0.004118683884999401</v>
      </c>
      <c r="K11" s="223">
        <v>-0.0015887134875510005</v>
      </c>
    </row>
    <row r="12">
      <c r="A12" s="165">
        <v>43767.97580962963</v>
      </c>
      <c r="B12" s="271">
        <v>4.653</v>
      </c>
      <c r="C12" s="271">
        <v>52.026</v>
      </c>
      <c r="D12" s="271">
        <v>185.25</v>
      </c>
      <c r="E12" s="271">
        <v>127.6</v>
      </c>
      <c r="F12" s="272">
        <v>7.362</v>
      </c>
      <c r="G12" s="273">
        <v>-0.006218154185953247</v>
      </c>
      <c r="H12" s="223">
        <v>0.003244811685880015</v>
      </c>
      <c r="I12" s="223">
        <v>-0.0024272709859137764</v>
      </c>
      <c r="J12" s="223">
        <v>-0.0029958925624902952</v>
      </c>
      <c r="K12" s="223">
        <v>0.0014411423158856573</v>
      </c>
    </row>
    <row r="13">
      <c r="A13" s="165">
        <v>43766.97551363426</v>
      </c>
      <c r="B13" s="271">
        <v>4.644</v>
      </c>
      <c r="C13" s="271">
        <v>51.959</v>
      </c>
      <c r="D13" s="271">
        <v>185.16</v>
      </c>
      <c r="E13" s="271">
        <v>127.94</v>
      </c>
      <c r="F13" s="272">
        <v>7.35</v>
      </c>
      <c r="G13" s="273">
        <v>-0.006370635095234538</v>
      </c>
      <c r="H13" s="223">
        <v>0.004698266574197289</v>
      </c>
      <c r="I13" s="223">
        <v>-0.001874673398284843</v>
      </c>
      <c r="J13" s="223">
        <v>-6.223398045198299E-5</v>
      </c>
      <c r="K13" s="223">
        <v>0.0034898990116201123</v>
      </c>
    </row>
    <row r="14">
      <c r="A14" s="165">
        <v>43763.975490937504</v>
      </c>
      <c r="B14" s="271">
        <v>4.714</v>
      </c>
      <c r="C14" s="271">
        <v>51.79</v>
      </c>
      <c r="D14" s="271">
        <v>186.32</v>
      </c>
      <c r="E14" s="271">
        <v>129.49</v>
      </c>
      <c r="F14" s="272">
        <v>7.38</v>
      </c>
      <c r="G14" s="273">
        <v>0.0015412964446301913</v>
      </c>
      <c r="H14" s="223">
        <v>0.003282241585821651</v>
      </c>
      <c r="I14" s="223">
        <v>0.0019142908804488101</v>
      </c>
      <c r="J14" s="223">
        <v>0.006867871921695616</v>
      </c>
      <c r="K14" s="223">
        <v>0.006454549741979602</v>
      </c>
    </row>
    <row r="15">
      <c r="A15" s="165">
        <v>43762.975511145836</v>
      </c>
      <c r="B15" s="271">
        <v>4.74</v>
      </c>
      <c r="C15" s="271">
        <v>51.521</v>
      </c>
      <c r="D15" s="271">
        <v>186.6</v>
      </c>
      <c r="E15" s="271">
        <v>128.74</v>
      </c>
      <c r="F15" s="272">
        <v>7.33</v>
      </c>
      <c r="G15" s="273">
        <v>0.004942735725156355</v>
      </c>
      <c r="H15" s="223">
        <v>0.002389407806768551</v>
      </c>
      <c r="I15" s="223">
        <v>0.0023612400729630854</v>
      </c>
      <c r="J15" s="223">
        <v>0.004779541940547157</v>
      </c>
      <c r="K15" s="223">
        <v>0.00571595066399296</v>
      </c>
    </row>
    <row r="16">
      <c r="A16" s="165">
        <v>43761.975526168986</v>
      </c>
      <c r="B16" s="271">
        <v>4.733</v>
      </c>
      <c r="C16" s="271">
        <v>51.23</v>
      </c>
      <c r="D16" s="271">
        <v>186.2</v>
      </c>
      <c r="E16" s="271">
        <v>127.95</v>
      </c>
      <c r="F16" s="272">
        <v>7.273</v>
      </c>
      <c r="G16" s="273">
        <v>7.388367620888939E-4</v>
      </c>
      <c r="H16" s="223">
        <v>0.0019207664976421679</v>
      </c>
      <c r="I16" s="223">
        <v>4.772978989446101E-4</v>
      </c>
      <c r="J16" s="223">
        <v>0.0011580314967757725</v>
      </c>
      <c r="K16" s="223">
        <v>0.001504617457523098</v>
      </c>
    </row>
    <row r="17">
      <c r="A17" s="165">
        <v>43760.97548800926</v>
      </c>
      <c r="B17" s="271">
        <v>4.692</v>
      </c>
      <c r="C17" s="271">
        <v>51.281</v>
      </c>
      <c r="D17" s="271">
        <v>185.25</v>
      </c>
      <c r="E17" s="271">
        <v>126.84</v>
      </c>
      <c r="F17" s="272">
        <v>7.238</v>
      </c>
      <c r="G17" s="273">
        <v>-0.002501648314814068</v>
      </c>
      <c r="H17" s="223">
        <v>0.0011138971178397867</v>
      </c>
      <c r="I17" s="223">
        <v>-0.001510228677328825</v>
      </c>
      <c r="J17" s="223">
        <v>-0.002701043356299504</v>
      </c>
      <c r="K17" s="223">
        <v>7.752807422723995E-4</v>
      </c>
    </row>
    <row r="18">
      <c r="A18" s="165">
        <v>43759.97547949074</v>
      </c>
      <c r="B18" s="271">
        <v>4.67</v>
      </c>
      <c r="C18" s="271">
        <v>51.152</v>
      </c>
      <c r="D18" s="271">
        <v>185.28</v>
      </c>
      <c r="E18" s="271">
        <v>126.9</v>
      </c>
      <c r="F18" s="272">
        <v>7.205</v>
      </c>
      <c r="G18" s="273">
        <v>-0.005615963886488107</v>
      </c>
      <c r="H18" s="223">
        <v>-9.898897242047362E-4</v>
      </c>
      <c r="I18" s="223">
        <v>-0.003211670573922465</v>
      </c>
      <c r="J18" s="223">
        <v>-0.0030907953752672412</v>
      </c>
      <c r="K18" s="223">
        <v>-0.003006397344844536</v>
      </c>
    </row>
    <row r="19">
      <c r="A19" s="165">
        <v>43756.97548054398</v>
      </c>
      <c r="B19" s="271">
        <v>4.722</v>
      </c>
      <c r="C19" s="271">
        <v>50.935</v>
      </c>
      <c r="D19" s="271">
        <v>185.93</v>
      </c>
      <c r="E19" s="271">
        <v>127.5</v>
      </c>
      <c r="F19" s="272">
        <v>7.24</v>
      </c>
      <c r="G19" s="273">
        <v>-0.003588894511350841</v>
      </c>
      <c r="H19" s="223">
        <v>-0.0037944078551357396</v>
      </c>
      <c r="I19" s="223">
        <v>-0.002755014981895639</v>
      </c>
      <c r="J19" s="223">
        <v>-0.003752935714072425</v>
      </c>
      <c r="K19" s="223">
        <v>-0.002533414632816089</v>
      </c>
    </row>
    <row r="20">
      <c r="A20" s="165">
        <v>43755.97548087963</v>
      </c>
      <c r="B20" s="271">
        <v>4.727</v>
      </c>
      <c r="C20" s="271">
        <v>51.109</v>
      </c>
      <c r="D20" s="271">
        <v>186.09</v>
      </c>
      <c r="E20" s="271">
        <v>127.87</v>
      </c>
      <c r="F20" s="272">
        <v>7.221</v>
      </c>
      <c r="G20" s="273">
        <v>-0.006238939728105149</v>
      </c>
      <c r="H20" s="223">
        <v>-1.9049600069923991E-4</v>
      </c>
      <c r="I20" s="223">
        <v>-0.0038194960012138957</v>
      </c>
      <c r="J20" s="223">
        <v>-0.0027339118178689357</v>
      </c>
      <c r="K20" s="223">
        <v>-0.0036366514167582853</v>
      </c>
    </row>
    <row r="21">
      <c r="A21" s="165">
        <v>43754.97549733796</v>
      </c>
      <c r="B21" s="271">
        <v>4.749</v>
      </c>
      <c r="C21" s="271">
        <v>51.303</v>
      </c>
      <c r="D21" s="271">
        <v>187.07</v>
      </c>
      <c r="E21" s="271">
        <v>128.08</v>
      </c>
      <c r="F21" s="272">
        <v>7.27</v>
      </c>
      <c r="G21" s="273">
        <v>-0.001642163966423249</v>
      </c>
      <c r="H21" s="223">
        <v>-7.113131233926021E-4</v>
      </c>
      <c r="I21" s="223">
        <v>-4.7027817252816756E-4</v>
      </c>
      <c r="J21" s="223">
        <v>0.001536758384844535</v>
      </c>
      <c r="K21" s="223">
        <v>-0.0014660543694603085</v>
      </c>
    </row>
    <row r="22">
      <c r="A22" s="165">
        <v>43753.9754819213</v>
      </c>
      <c r="B22" s="271">
        <v>4.773</v>
      </c>
      <c r="C22" s="271">
        <v>51.517</v>
      </c>
      <c r="D22" s="271">
        <v>187.47</v>
      </c>
      <c r="E22" s="271">
        <v>128.94</v>
      </c>
      <c r="F22" s="272">
        <v>7.295</v>
      </c>
      <c r="G22" s="273">
        <v>-0.005406048082318593</v>
      </c>
      <c r="H22" s="223">
        <v>0.004757443465304452</v>
      </c>
      <c r="I22" s="223">
        <v>-0.003334108593663454</v>
      </c>
      <c r="J22" s="223">
        <v>-0.001062417255889958</v>
      </c>
      <c r="K22" s="223">
        <v>0.001825739717341272</v>
      </c>
    </row>
    <row r="23">
      <c r="A23" s="165">
        <v>43752.9754815625</v>
      </c>
      <c r="B23" s="271">
        <v>4.816</v>
      </c>
      <c r="C23" s="271">
        <v>51.136</v>
      </c>
      <c r="D23" s="271">
        <v>188.23</v>
      </c>
      <c r="E23" s="271">
        <v>128.92</v>
      </c>
      <c r="F23" s="272">
        <v>7.3</v>
      </c>
      <c r="G23" s="273">
        <v>-0.00831369800027774</v>
      </c>
      <c r="H23" s="223">
        <v>0.0050819951289703775</v>
      </c>
      <c r="I23" s="223">
        <v>-0.004975633634533942</v>
      </c>
      <c r="J23" s="223">
        <v>-0.004825556752404518</v>
      </c>
      <c r="K23" s="223">
        <v>-5.646768247392261E-4</v>
      </c>
    </row>
    <row r="24">
      <c r="A24" s="165">
        <v>43749.97548219908</v>
      </c>
      <c r="B24" s="271">
        <v>4.772</v>
      </c>
      <c r="C24" s="271">
        <v>51.41</v>
      </c>
      <c r="D24" s="271">
        <v>187.33</v>
      </c>
      <c r="E24" s="271">
        <v>127.48</v>
      </c>
      <c r="F24" s="272">
        <v>7.302</v>
      </c>
      <c r="G24" s="273">
        <v>-0.0157486213872949</v>
      </c>
      <c r="H24" s="223">
        <v>0.00790734898912726</v>
      </c>
      <c r="I24" s="223">
        <v>-0.008593437393570028</v>
      </c>
      <c r="J24" s="223">
        <v>-0.008599776062798123</v>
      </c>
      <c r="K24" s="223">
        <v>8.942622558238966E-4</v>
      </c>
    </row>
    <row r="25">
      <c r="A25" s="165">
        <v>43748.975473900464</v>
      </c>
      <c r="B25" s="271">
        <v>4.85</v>
      </c>
      <c r="C25" s="271">
        <v>50.781</v>
      </c>
      <c r="D25" s="271">
        <v>189.34</v>
      </c>
      <c r="E25" s="271">
        <v>129.33</v>
      </c>
      <c r="F25" s="272">
        <v>7.255</v>
      </c>
      <c r="G25" s="273">
        <v>-0.008233918683800967</v>
      </c>
      <c r="H25" s="223">
        <v>-0.0014366847353176986</v>
      </c>
      <c r="I25" s="223">
        <v>-0.003230527617715806</v>
      </c>
      <c r="J25" s="223">
        <v>-0.0017999825365853095</v>
      </c>
      <c r="K25" s="223">
        <v>-5.646440952569906E-4</v>
      </c>
    </row>
    <row r="26">
      <c r="A26" s="165">
        <v>43747.97562680556</v>
      </c>
      <c r="B26" s="271">
        <v>4.936</v>
      </c>
      <c r="C26" s="271">
        <v>50.356</v>
      </c>
      <c r="D26" s="271">
        <v>191.04</v>
      </c>
      <c r="E26" s="271">
        <v>130.77</v>
      </c>
      <c r="F26" s="272">
        <v>7.312</v>
      </c>
      <c r="G26" s="273">
        <v>-0.0031280947366818523</v>
      </c>
      <c r="H26" s="223">
        <v>-0.002624883644859355</v>
      </c>
      <c r="I26" s="223">
        <v>-0.001057190170277537</v>
      </c>
      <c r="J26" s="223">
        <v>5.783250884821752E-4</v>
      </c>
      <c r="K26" s="223">
        <v>0.0015955448780482495</v>
      </c>
    </row>
    <row r="27">
      <c r="A27" s="165">
        <v>43746.975523506946</v>
      </c>
      <c r="B27" s="271">
        <v>5.001</v>
      </c>
      <c r="C27" s="271">
        <v>50.199</v>
      </c>
      <c r="D27" s="271">
        <v>192.2</v>
      </c>
      <c r="E27" s="271">
        <v>130.79</v>
      </c>
      <c r="F27" s="272">
        <v>7.282</v>
      </c>
      <c r="G27" s="273">
        <v>0.00346937305715452</v>
      </c>
      <c r="H27" s="223">
        <v>0.0020898839913835823</v>
      </c>
      <c r="I27" s="223">
        <v>0.0018365049804919265</v>
      </c>
      <c r="J27" s="223">
        <v>-3.4102319879554993E-4</v>
      </c>
      <c r="K27" s="223">
        <v>0.0023808318352358895</v>
      </c>
    </row>
    <row r="28">
      <c r="A28" s="165">
        <v>43745.97550310185</v>
      </c>
      <c r="B28" s="271">
        <v>4.97</v>
      </c>
      <c r="C28" s="271">
        <v>50.992</v>
      </c>
      <c r="D28" s="271">
        <v>191.17</v>
      </c>
      <c r="E28" s="271">
        <v>130.02</v>
      </c>
      <c r="F28" s="272">
        <v>7.267</v>
      </c>
      <c r="G28" s="273">
        <v>0.0014031196411710134</v>
      </c>
      <c r="H28" s="223">
        <v>0.00686098371000458</v>
      </c>
      <c r="I28" s="223">
        <v>4.861519078802612E-4</v>
      </c>
      <c r="J28" s="223">
        <v>-0.0014632488557687247</v>
      </c>
      <c r="K28" s="223">
        <v>7.721233719060935E-4</v>
      </c>
    </row>
    <row r="29">
      <c r="A29" s="165">
        <v>43742.975501319444</v>
      </c>
      <c r="B29" s="271">
        <v>4.982</v>
      </c>
      <c r="C29" s="271">
        <v>50.747</v>
      </c>
      <c r="D29" s="271">
        <v>191.64</v>
      </c>
      <c r="E29" s="271">
        <v>130.54</v>
      </c>
      <c r="F29" s="272">
        <v>7.277</v>
      </c>
      <c r="G29" s="273">
        <v>0.0030161927047291925</v>
      </c>
      <c r="H29" s="223">
        <v>-0.004311102284725569</v>
      </c>
      <c r="I29" s="223">
        <v>0.001340590952128758</v>
      </c>
      <c r="J29" s="223">
        <v>0.0032136780382882404</v>
      </c>
      <c r="K29" s="223">
        <v>-0.0010680326475109119</v>
      </c>
    </row>
    <row r="30">
      <c r="A30" s="165">
        <v>43741.97547913194</v>
      </c>
      <c r="B30" s="271">
        <v>4.949</v>
      </c>
      <c r="C30" s="271">
        <v>49.871</v>
      </c>
      <c r="D30" s="271">
        <v>191.14</v>
      </c>
      <c r="E30" s="271">
        <v>130.92</v>
      </c>
      <c r="F30" s="272">
        <v>7.23</v>
      </c>
      <c r="G30" s="273">
        <v>0.0032388699758807427</v>
      </c>
      <c r="H30" s="223">
        <v>-0.012945691318062927</v>
      </c>
      <c r="I30" s="223">
        <v>0.001309171618134893</v>
      </c>
      <c r="J30" s="223">
        <v>0.006839740741272249</v>
      </c>
      <c r="K30" s="223">
        <v>-0.004316824895307307</v>
      </c>
    </row>
    <row r="31">
      <c r="A31" s="165">
        <v>43740.975478113425</v>
      </c>
      <c r="B31" s="271">
        <v>4.949</v>
      </c>
      <c r="C31" s="271">
        <v>49.945</v>
      </c>
      <c r="D31" s="271">
        <v>190.89</v>
      </c>
      <c r="E31" s="271">
        <v>130.59</v>
      </c>
      <c r="F31" s="272">
        <v>7.25</v>
      </c>
      <c r="G31" s="273">
        <v>0.004531123257523991</v>
      </c>
      <c r="H31" s="223">
        <v>-0.011666359536186036</v>
      </c>
      <c r="I31" s="223">
        <v>0.0024138881760196926</v>
      </c>
      <c r="J31" s="223">
        <v>0.0019449520841217094</v>
      </c>
      <c r="K31" s="223">
        <v>-0.004578065216510756</v>
      </c>
    </row>
    <row r="32">
      <c r="A32" s="165">
        <v>43739.97547013889</v>
      </c>
      <c r="B32" s="271">
        <v>4.937</v>
      </c>
      <c r="C32" s="271">
        <v>51.379</v>
      </c>
      <c r="D32" s="271">
        <v>190.87</v>
      </c>
      <c r="E32" s="271">
        <v>129.28</v>
      </c>
      <c r="F32" s="272">
        <v>7.3</v>
      </c>
      <c r="G32" s="273">
        <v>0.0032449329708950834</v>
      </c>
      <c r="H32" s="223">
        <v>-6.77419674976291E-4</v>
      </c>
      <c r="I32" s="223">
        <v>0.0020271796221829064</v>
      </c>
      <c r="J32" s="223">
        <v>-0.005866915289069278</v>
      </c>
      <c r="K32" s="223">
        <v>-0.0021885116939523255</v>
      </c>
    </row>
    <row r="33">
      <c r="A33" s="165">
        <v>43738.97547076389</v>
      </c>
      <c r="B33" s="271">
        <v>4.901</v>
      </c>
      <c r="C33" s="271">
        <v>51.823</v>
      </c>
      <c r="D33" s="271">
        <v>190.39</v>
      </c>
      <c r="E33" s="271">
        <v>128.25</v>
      </c>
      <c r="F33" s="272">
        <v>7.324</v>
      </c>
      <c r="G33" s="273">
        <v>0.001700650576922665</v>
      </c>
      <c r="H33" s="223">
        <v>8.498845707293201E-4</v>
      </c>
      <c r="I33" s="223">
        <v>0.001751174436642892</v>
      </c>
      <c r="J33" s="223">
        <v>-0.00902942777036301</v>
      </c>
      <c r="K33" s="223">
        <v>-0.0026803549066551913</v>
      </c>
    </row>
    <row r="34">
      <c r="A34" s="165">
        <v>43735.97497361111</v>
      </c>
      <c r="B34" s="271">
        <v>4.882</v>
      </c>
      <c r="C34" s="271">
        <v>51.701</v>
      </c>
      <c r="D34" s="271">
        <v>189.51</v>
      </c>
      <c r="E34" s="271">
        <v>129.81</v>
      </c>
      <c r="F34" s="272">
        <v>7.35</v>
      </c>
      <c r="G34" s="273">
        <v>6.658706831748813E-5</v>
      </c>
      <c r="H34" s="223">
        <v>-5.023234371372606E-4</v>
      </c>
      <c r="I34" s="223">
        <v>0.001196097772081887</v>
      </c>
      <c r="J34" s="223">
        <v>-0.0059615641412290215</v>
      </c>
      <c r="K34" s="223">
        <v>-0.0022645596838976414</v>
      </c>
    </row>
    <row r="35">
      <c r="A35" s="165">
        <v>43734.97548858797</v>
      </c>
      <c r="B35" s="271">
        <v>4.889</v>
      </c>
      <c r="C35" s="271">
        <v>51.481</v>
      </c>
      <c r="D35" s="271">
        <v>189.71</v>
      </c>
      <c r="E35" s="271">
        <v>131.55</v>
      </c>
      <c r="F35" s="272">
        <v>7.348</v>
      </c>
      <c r="G35" s="273">
        <v>0.0017054975485067219</v>
      </c>
      <c r="H35" s="223">
        <v>-0.0021911208236520263</v>
      </c>
      <c r="I35" s="223">
        <v>0.0017597129458182998</v>
      </c>
      <c r="J35" s="223">
        <v>-0.0010646573244095976</v>
      </c>
      <c r="K35" s="223">
        <v>-0.003481388757869519</v>
      </c>
    </row>
    <row r="36">
      <c r="A36" s="165">
        <v>43733.97549216435</v>
      </c>
      <c r="B36" s="271">
        <v>4.876</v>
      </c>
      <c r="C36" s="271">
        <v>51.69</v>
      </c>
      <c r="D36" s="271">
        <v>189.39</v>
      </c>
      <c r="E36" s="271">
        <v>131.75</v>
      </c>
      <c r="F36" s="272">
        <v>7.383</v>
      </c>
      <c r="G36" s="273">
        <v>0.005547772477366042</v>
      </c>
      <c r="H36" s="223">
        <v>-0.0026840048110604218</v>
      </c>
      <c r="I36" s="223">
        <v>0.0038293555810664515</v>
      </c>
      <c r="J36" s="223">
        <v>0.004190674797736567</v>
      </c>
      <c r="K36" s="223">
        <v>-0.0011753610825804284</v>
      </c>
    </row>
    <row r="37">
      <c r="A37" s="165">
        <v>43732.97548393518</v>
      </c>
      <c r="B37" s="271">
        <v>4.881</v>
      </c>
      <c r="C37" s="271">
        <v>51.778</v>
      </c>
      <c r="D37" s="271">
        <v>188.83</v>
      </c>
      <c r="E37" s="271">
        <v>132.14</v>
      </c>
      <c r="F37" s="272">
        <v>7.4</v>
      </c>
      <c r="G37" s="273">
        <v>0.008322672728658831</v>
      </c>
      <c r="H37" s="223">
        <v>-0.0017326935697671668</v>
      </c>
      <c r="I37" s="223">
        <v>0.004695389105727088</v>
      </c>
      <c r="J37" s="223">
        <v>0.007150385121378111</v>
      </c>
      <c r="K37" s="223">
        <v>0.0010318583920509254</v>
      </c>
    </row>
    <row r="38">
      <c r="A38" s="165">
        <v>43731.97415458334</v>
      </c>
      <c r="B38" s="271">
        <v>4.864</v>
      </c>
      <c r="C38" s="271">
        <v>51.82</v>
      </c>
      <c r="D38" s="271">
        <v>188.71</v>
      </c>
      <c r="E38" s="271">
        <v>131.97</v>
      </c>
      <c r="F38" s="272">
        <v>7.425</v>
      </c>
      <c r="G38" s="273">
        <v>0.0071617084453834785</v>
      </c>
      <c r="H38" s="223">
        <v>0.0017527343497431385</v>
      </c>
      <c r="I38" s="223">
        <v>0.004018059020935512</v>
      </c>
      <c r="J38" s="223">
        <v>0.004943013150903175</v>
      </c>
      <c r="K38" s="223">
        <v>0.002564653895972898</v>
      </c>
    </row>
    <row r="39">
      <c r="A39" s="165">
        <v>43728.975497685184</v>
      </c>
      <c r="B39" s="271">
        <v>4.795</v>
      </c>
      <c r="C39" s="271">
        <v>52.107</v>
      </c>
      <c r="D39" s="271">
        <v>187.22</v>
      </c>
      <c r="E39" s="271">
        <v>130.09</v>
      </c>
      <c r="F39" s="272">
        <v>7.409</v>
      </c>
      <c r="G39" s="273">
        <v>0.004744014394078788</v>
      </c>
      <c r="H39" s="223">
        <v>0.002952184276380887</v>
      </c>
      <c r="I39" s="223">
        <v>0.0022622184797555698</v>
      </c>
      <c r="J39" s="223">
        <v>0.0012456603762704594</v>
      </c>
      <c r="K39" s="223">
        <v>-0.0016824132284014581</v>
      </c>
    </row>
    <row r="40">
      <c r="A40" s="165">
        <v>43727.97547965278</v>
      </c>
      <c r="B40" s="271">
        <v>4.76</v>
      </c>
      <c r="C40" s="271">
        <v>52.047</v>
      </c>
      <c r="D40" s="271">
        <v>186.18</v>
      </c>
      <c r="E40" s="271">
        <v>129.32</v>
      </c>
      <c r="F40" s="272">
        <v>7.377</v>
      </c>
      <c r="G40" s="273">
        <v>0.003932812812029803</v>
      </c>
      <c r="H40" s="223">
        <v>0.0012323145391831176</v>
      </c>
      <c r="I40" s="223">
        <v>-1.092885528923097E-4</v>
      </c>
      <c r="J40" s="223">
        <v>-0.0021419417333169433</v>
      </c>
      <c r="K40" s="223">
        <v>-0.007195879323924181</v>
      </c>
    </row>
    <row r="41">
      <c r="A41" s="165">
        <v>43726.975490729164</v>
      </c>
      <c r="B41" s="271">
        <v>4.76</v>
      </c>
      <c r="C41" s="271">
        <v>51.545</v>
      </c>
      <c r="D41" s="271">
        <v>186.44</v>
      </c>
      <c r="E41" s="271">
        <v>130.01</v>
      </c>
      <c r="F41" s="272">
        <v>7.368</v>
      </c>
      <c r="G41" s="273">
        <v>0.007050726644229344</v>
      </c>
      <c r="H41" s="223">
        <v>-0.0015391581134557668</v>
      </c>
      <c r="I41" s="223">
        <v>0.0028440401088359137</v>
      </c>
      <c r="J41" s="223">
        <v>0.003990542706009441</v>
      </c>
      <c r="K41" s="223">
        <v>0.003586695471469984</v>
      </c>
    </row>
    <row r="42">
      <c r="A42" s="165">
        <v>43725.97548028935</v>
      </c>
      <c r="B42" s="271">
        <v>4.727</v>
      </c>
      <c r="C42" s="271">
        <v>51.645</v>
      </c>
      <c r="D42" s="271">
        <v>185.95</v>
      </c>
      <c r="E42" s="271">
        <v>129.6</v>
      </c>
      <c r="F42" s="272">
        <v>7.446</v>
      </c>
      <c r="G42" s="273">
        <v>-0.0024132735481222634</v>
      </c>
      <c r="H42" s="223">
        <v>-0.0015361858866195233</v>
      </c>
      <c r="I42" s="223">
        <v>-0.0011156049650318984</v>
      </c>
      <c r="J42" s="223">
        <v>-8.234715107608981E-4</v>
      </c>
      <c r="K42" s="223">
        <v>0.007984954174822848</v>
      </c>
    </row>
    <row r="43">
      <c r="A43" s="165">
        <v>43724.97548815972</v>
      </c>
      <c r="B43" s="271">
        <v>4.704</v>
      </c>
      <c r="C43" s="271">
        <v>51.852</v>
      </c>
      <c r="D43" s="271">
        <v>186.24</v>
      </c>
      <c r="E43" s="271">
        <v>130.15</v>
      </c>
      <c r="F43" s="272">
        <v>7.537</v>
      </c>
      <c r="G43" s="273">
        <v>-0.007746646584241734</v>
      </c>
      <c r="H43" s="223">
        <v>6.222213984985089E-4</v>
      </c>
      <c r="I43" s="223">
        <v>-0.0031686507572650235</v>
      </c>
      <c r="J43" s="223">
        <v>0.0016945504244409253</v>
      </c>
      <c r="K43" s="223">
        <v>0.00921404065490857</v>
      </c>
    </row>
    <row r="44">
      <c r="A44" s="165">
        <v>43721.975469004625</v>
      </c>
      <c r="B44" s="271">
        <v>4.66</v>
      </c>
      <c r="C44" s="271">
        <v>51.783</v>
      </c>
      <c r="D44" s="271">
        <v>184.85</v>
      </c>
      <c r="E44" s="271">
        <v>128.45</v>
      </c>
      <c r="F44" s="272">
        <v>7.284</v>
      </c>
      <c r="G44" s="273">
        <v>-0.012561353823186868</v>
      </c>
      <c r="H44" s="223">
        <v>0.005189439244870438</v>
      </c>
      <c r="I44" s="223">
        <v>-0.005479175116895589</v>
      </c>
      <c r="J44" s="223">
        <v>-0.0018097824733667167</v>
      </c>
      <c r="K44" s="223">
        <v>-0.0015202651624286467</v>
      </c>
    </row>
    <row r="45">
      <c r="A45" s="165">
        <v>43720.97546011574</v>
      </c>
      <c r="B45" s="271">
        <v>4.76</v>
      </c>
      <c r="C45" s="271">
        <v>51.883</v>
      </c>
      <c r="D45" s="271">
        <v>186.56</v>
      </c>
      <c r="E45" s="271">
        <v>129.9</v>
      </c>
      <c r="F45" s="272">
        <v>7.265</v>
      </c>
      <c r="G45" s="273">
        <v>-0.008061163444166297</v>
      </c>
      <c r="H45" s="223">
        <v>0.0034006816000833697</v>
      </c>
      <c r="I45" s="223">
        <v>-0.0033535501945407185</v>
      </c>
      <c r="J45" s="223">
        <v>0.0015400420658055654</v>
      </c>
      <c r="K45" s="223">
        <v>-5.675103484078884E-4</v>
      </c>
    </row>
    <row r="46">
      <c r="A46" s="165">
        <v>43719.97476195602</v>
      </c>
      <c r="B46" s="271">
        <v>4.813</v>
      </c>
      <c r="C46" s="271">
        <v>51.755</v>
      </c>
      <c r="D46" s="271">
        <v>188.0</v>
      </c>
      <c r="E46" s="271">
        <v>129.47</v>
      </c>
      <c r="F46" s="272">
        <v>7.327</v>
      </c>
      <c r="G46" s="273">
        <v>-0.008519763619265023</v>
      </c>
      <c r="H46" s="223">
        <v>0.002578318462510998</v>
      </c>
      <c r="I46" s="223">
        <v>-0.0027618301966136536</v>
      </c>
      <c r="J46" s="223">
        <v>-0.004049063004606686</v>
      </c>
      <c r="K46" s="223">
        <v>0.004704919169679263</v>
      </c>
    </row>
    <row r="47">
      <c r="A47" s="165">
        <v>43718.97553638888</v>
      </c>
      <c r="B47" s="271">
        <v>4.8375</v>
      </c>
      <c r="C47" s="271">
        <v>50.977</v>
      </c>
      <c r="D47" s="271">
        <v>187.9</v>
      </c>
      <c r="E47" s="271">
        <v>129.14</v>
      </c>
      <c r="F47" s="272">
        <v>7.317</v>
      </c>
      <c r="G47" s="273">
        <v>-0.004257309554900039</v>
      </c>
      <c r="H47" s="223">
        <v>-0.002205266159109357</v>
      </c>
      <c r="I47" s="223">
        <v>-0.0023060902149614946</v>
      </c>
      <c r="J47" s="223">
        <v>-0.004720617998591618</v>
      </c>
      <c r="K47" s="223">
        <v>0.0023581388057054196</v>
      </c>
    </row>
    <row r="48">
      <c r="A48" s="165">
        <v>43717.97546659722</v>
      </c>
      <c r="B48" s="271">
        <v>4.876</v>
      </c>
      <c r="C48" s="271">
        <v>51.349</v>
      </c>
      <c r="D48" s="271">
        <v>188.44</v>
      </c>
      <c r="E48" s="271">
        <v>129.3</v>
      </c>
      <c r="F48" s="272">
        <v>7.277</v>
      </c>
      <c r="G48" s="273">
        <v>-0.008680698180854929</v>
      </c>
      <c r="H48" s="223">
        <v>0.005073184339845345</v>
      </c>
      <c r="I48" s="223">
        <v>-0.004854123989092722</v>
      </c>
      <c r="J48" s="223">
        <v>-0.011255785576920344</v>
      </c>
      <c r="K48" s="223">
        <v>0.00159118627114981</v>
      </c>
    </row>
    <row r="49">
      <c r="A49" s="165">
        <v>43714.97543539351</v>
      </c>
      <c r="B49" s="271">
        <v>4.937</v>
      </c>
      <c r="C49" s="271">
        <v>51.349</v>
      </c>
      <c r="D49" s="271">
        <v>189.56</v>
      </c>
      <c r="E49" s="271">
        <v>131.04</v>
      </c>
      <c r="F49" s="272">
        <v>7.224</v>
      </c>
      <c r="G49" s="273">
        <v>-0.009241108448230229</v>
      </c>
      <c r="H49" s="223">
        <v>0.006299256163923832</v>
      </c>
      <c r="I49" s="223">
        <v>-0.005470710063832669</v>
      </c>
      <c r="J49" s="223">
        <v>-0.00886433422590834</v>
      </c>
      <c r="K49" s="223">
        <v>0.002339364156575874</v>
      </c>
    </row>
    <row r="50">
      <c r="A50" s="165">
        <v>43713.975486157404</v>
      </c>
      <c r="B50" s="271">
        <v>4.899</v>
      </c>
      <c r="C50" s="271">
        <v>51.314</v>
      </c>
      <c r="D50" s="271">
        <v>189.2</v>
      </c>
      <c r="E50" s="271">
        <v>130.97</v>
      </c>
      <c r="F50" s="272">
        <v>7.265</v>
      </c>
      <c r="G50" s="273">
        <v>-0.008324966451796293</v>
      </c>
      <c r="H50" s="223">
        <v>0.004934080221607943</v>
      </c>
      <c r="I50" s="223">
        <v>-0.0041142733132554605</v>
      </c>
      <c r="J50" s="223">
        <v>-0.0042358957395093695</v>
      </c>
      <c r="K50" s="223">
        <v>0.0033482655076031063</v>
      </c>
    </row>
    <row r="51">
      <c r="A51" s="165">
        <v>43712.97546758102</v>
      </c>
      <c r="B51" s="271">
        <v>5.003</v>
      </c>
      <c r="C51" s="271">
        <v>50.568</v>
      </c>
      <c r="D51" s="271">
        <v>191.19</v>
      </c>
      <c r="E51" s="271">
        <v>133.7</v>
      </c>
      <c r="F51" s="272">
        <v>7.242</v>
      </c>
      <c r="G51" s="273">
        <v>-2.5287481603634515E-4</v>
      </c>
      <c r="H51" s="223">
        <v>4.194400142631949E-5</v>
      </c>
      <c r="I51" s="223">
        <v>4.5334337174766465E-4</v>
      </c>
      <c r="J51" s="223">
        <v>0.0029133664102243273</v>
      </c>
      <c r="K51" s="223">
        <v>0.0022929775975320346</v>
      </c>
    </row>
    <row r="52">
      <c r="A52" s="165">
        <v>43711.97561530092</v>
      </c>
      <c r="B52" s="271">
        <v>5.074</v>
      </c>
      <c r="C52" s="271">
        <v>50.382</v>
      </c>
      <c r="D52" s="271">
        <v>192.68</v>
      </c>
      <c r="E52" s="271">
        <v>134.54</v>
      </c>
      <c r="F52" s="272">
        <v>7.173</v>
      </c>
      <c r="G52" s="273">
        <v>0.007407437772545822</v>
      </c>
      <c r="H52" s="223">
        <v>8.002738571669296E-4</v>
      </c>
      <c r="I52" s="223">
        <v>0.00488433682528903</v>
      </c>
      <c r="J52" s="223">
        <v>0.005183681299636089</v>
      </c>
      <c r="K52" s="223">
        <v>-6.512016878686596E-4</v>
      </c>
    </row>
    <row r="53">
      <c r="A53" s="165">
        <v>43710.97548324074</v>
      </c>
      <c r="B53" s="271">
        <v>5.021</v>
      </c>
      <c r="C53" s="271">
        <v>50.554</v>
      </c>
      <c r="D53" s="271">
        <v>191.53</v>
      </c>
      <c r="E53" s="271">
        <v>132.6</v>
      </c>
      <c r="F53" s="272">
        <v>7.192</v>
      </c>
      <c r="G53" s="273">
        <v>9.026605114791734E-4</v>
      </c>
      <c r="H53" s="223">
        <v>0.007104714114789819</v>
      </c>
      <c r="I53" s="223">
        <v>0.0026315170551019693</v>
      </c>
      <c r="J53" s="223">
        <v>0.0010818485635122703</v>
      </c>
      <c r="K53" s="223">
        <v>0.00301454125112303</v>
      </c>
    </row>
    <row r="54">
      <c r="A54" s="165">
        <v>43707.975476990745</v>
      </c>
      <c r="B54" s="271">
        <v>5.006</v>
      </c>
      <c r="C54" s="271">
        <v>50.561</v>
      </c>
      <c r="D54" s="271">
        <v>190.92</v>
      </c>
      <c r="E54" s="271">
        <v>132.52</v>
      </c>
      <c r="F54" s="272">
        <v>7.192</v>
      </c>
      <c r="G54" s="273">
        <v>0.0020371937874116655</v>
      </c>
      <c r="H54" s="223">
        <v>0.007945787295726111</v>
      </c>
      <c r="I54" s="223">
        <v>0.0022014029763672838</v>
      </c>
      <c r="J54" s="223">
        <v>9.892108841117835E-5</v>
      </c>
      <c r="K54" s="223">
        <v>0.006522328538901889</v>
      </c>
    </row>
    <row r="55">
      <c r="A55" s="165">
        <v>43706.97547658565</v>
      </c>
      <c r="B55" s="271">
        <v>4.962</v>
      </c>
      <c r="C55" s="271">
        <v>50.26</v>
      </c>
      <c r="D55" s="271">
        <v>189.87</v>
      </c>
      <c r="E55" s="271">
        <v>132.45</v>
      </c>
      <c r="F55" s="272">
        <v>7.187</v>
      </c>
      <c r="G55" s="273">
        <v>0.0025914633373185225</v>
      </c>
      <c r="H55" s="223">
        <v>0.007838635107766723</v>
      </c>
      <c r="I55" s="223">
        <v>0.0016863226642695277</v>
      </c>
      <c r="J55" s="223">
        <v>0.002715721432830905</v>
      </c>
      <c r="K55" s="223">
        <v>0.006385125398755946</v>
      </c>
    </row>
    <row r="56">
      <c r="A56" s="165">
        <v>43705.9754721412</v>
      </c>
      <c r="B56" s="271">
        <v>5.007</v>
      </c>
      <c r="C56" s="271">
        <v>49.481</v>
      </c>
      <c r="D56" s="271">
        <v>190.02</v>
      </c>
      <c r="E56" s="271">
        <v>132.17</v>
      </c>
      <c r="F56" s="272">
        <v>7.127</v>
      </c>
      <c r="G56" s="273">
        <v>0.008661360552497591</v>
      </c>
      <c r="H56" s="223">
        <v>0.0024616482390493744</v>
      </c>
      <c r="I56" s="223">
        <v>0.0032377520686570995</v>
      </c>
      <c r="J56" s="223">
        <v>0.004193184896604511</v>
      </c>
      <c r="K56" s="223">
        <v>0.006581046521113391</v>
      </c>
    </row>
    <row r="57">
      <c r="A57" s="165">
        <v>43704.97547694444</v>
      </c>
      <c r="B57" s="271">
        <v>4.975</v>
      </c>
      <c r="C57" s="271">
        <v>49.363</v>
      </c>
      <c r="D57" s="271">
        <v>189.66</v>
      </c>
      <c r="E57" s="271">
        <v>132.48</v>
      </c>
      <c r="F57" s="272">
        <v>7.052</v>
      </c>
      <c r="G57" s="273">
        <v>0.007009347827057792</v>
      </c>
      <c r="H57" s="223">
        <v>-0.0043666057235662485</v>
      </c>
      <c r="I57" s="223">
        <v>0.002464531302807956</v>
      </c>
      <c r="J57" s="223">
        <v>0.00885721199406734</v>
      </c>
      <c r="K57" s="223">
        <v>-7.433525695375032E-4</v>
      </c>
    </row>
    <row r="58">
      <c r="A58" s="165">
        <v>43703.97549211806</v>
      </c>
      <c r="B58" s="271">
        <v>4.923</v>
      </c>
      <c r="C58" s="271">
        <v>49.085</v>
      </c>
      <c r="D58" s="271">
        <v>188.91</v>
      </c>
      <c r="E58" s="271">
        <v>131.37</v>
      </c>
      <c r="F58" s="272">
        <v>7.05</v>
      </c>
      <c r="G58" s="273">
        <v>0.0018828874955639046</v>
      </c>
      <c r="H58" s="223">
        <v>-0.007037109223358391</v>
      </c>
      <c r="I58" s="223">
        <v>0.0010224409715538692</v>
      </c>
      <c r="J58" s="223">
        <v>0.005728394243150081</v>
      </c>
      <c r="K58" s="223">
        <v>-0.0019227428866125755</v>
      </c>
    </row>
    <row r="59">
      <c r="A59" s="165">
        <v>43700.97545549768</v>
      </c>
      <c r="B59" s="271">
        <v>4.878</v>
      </c>
      <c r="C59" s="271">
        <v>49.116</v>
      </c>
      <c r="D59" s="271">
        <v>188.18</v>
      </c>
      <c r="E59" s="271">
        <v>130.51</v>
      </c>
      <c r="F59" s="272">
        <v>6.987</v>
      </c>
      <c r="G59" s="273">
        <v>-0.001027841717981463</v>
      </c>
      <c r="H59" s="223">
        <v>-0.0061815231551749505</v>
      </c>
      <c r="I59" s="223">
        <v>-8.320320652859259E-4</v>
      </c>
      <c r="J59" s="223">
        <v>0.0033913676794153913</v>
      </c>
      <c r="K59" s="223">
        <v>-0.003632072778879151</v>
      </c>
    </row>
    <row r="60">
      <c r="A60" s="165">
        <v>43699.97552125</v>
      </c>
      <c r="B60" s="271">
        <v>4.871</v>
      </c>
      <c r="C60" s="271">
        <v>50.005</v>
      </c>
      <c r="D60" s="271">
        <v>188.26</v>
      </c>
      <c r="E60" s="271">
        <v>128.99</v>
      </c>
      <c r="F60" s="272">
        <v>7.067</v>
      </c>
      <c r="G60" s="273">
        <v>-4.161873283944721E-4</v>
      </c>
      <c r="H60" s="223">
        <v>-9.211030658953234E-4</v>
      </c>
      <c r="I60" s="223">
        <v>4.0517936451130626E-4</v>
      </c>
      <c r="J60" s="223">
        <v>1.542566734966666E-4</v>
      </c>
      <c r="K60" s="223">
        <v>-2.402096663653245E-4</v>
      </c>
    </row>
    <row r="61">
      <c r="A61" s="165">
        <v>43698.97549599537</v>
      </c>
      <c r="B61" s="271">
        <v>4.895</v>
      </c>
      <c r="C61" s="271">
        <v>50.124</v>
      </c>
      <c r="D61" s="271">
        <v>188.33</v>
      </c>
      <c r="E61" s="271">
        <v>129.12</v>
      </c>
      <c r="F61" s="272">
        <v>7.09</v>
      </c>
      <c r="G61" s="273">
        <v>-0.0013710391691349095</v>
      </c>
      <c r="H61" s="223">
        <v>0.004459032460893224</v>
      </c>
      <c r="I61" s="223">
        <v>-1.4452993724097438E-4</v>
      </c>
      <c r="J61" s="223">
        <v>-0.0017590825281473081</v>
      </c>
      <c r="K61" s="223">
        <v>5.61839391766276E-4</v>
      </c>
    </row>
    <row r="62">
      <c r="A62" s="165">
        <v>43697.975503124995</v>
      </c>
      <c r="B62" s="271">
        <v>4.893</v>
      </c>
      <c r="C62" s="271">
        <v>50.027</v>
      </c>
      <c r="D62" s="271">
        <v>188.65</v>
      </c>
      <c r="E62" s="271">
        <v>129.18</v>
      </c>
      <c r="F62" s="272">
        <v>7.063</v>
      </c>
      <c r="G62" s="273">
        <v>-0.002321067762127519</v>
      </c>
      <c r="H62" s="223">
        <v>0.008801866530085004</v>
      </c>
      <c r="I62" s="223">
        <v>2.8031646441743313E-4</v>
      </c>
      <c r="J62" s="223">
        <v>-0.002862534030124375</v>
      </c>
      <c r="K62" s="223">
        <v>-0.001131402665009107</v>
      </c>
    </row>
    <row r="63">
      <c r="A63" s="165">
        <v>43696.97553645833</v>
      </c>
      <c r="B63" s="271">
        <v>4.877</v>
      </c>
      <c r="C63" s="271">
        <v>50.143</v>
      </c>
      <c r="D63" s="271">
        <v>188.03</v>
      </c>
      <c r="E63" s="271">
        <v>128.93</v>
      </c>
      <c r="F63" s="272">
        <v>7.072</v>
      </c>
      <c r="G63" s="273">
        <v>-2.313024712570222E-4</v>
      </c>
      <c r="H63" s="223">
        <v>0.008397820829011008</v>
      </c>
      <c r="I63" s="223">
        <v>0.001377679439474348</v>
      </c>
      <c r="J63" s="223">
        <v>-0.0018702556903968197</v>
      </c>
      <c r="K63" s="223">
        <v>7.043803134822261E-4</v>
      </c>
    </row>
    <row r="64">
      <c r="A64" s="165">
        <v>43693.97564391204</v>
      </c>
      <c r="B64" s="271">
        <v>4.915</v>
      </c>
      <c r="C64" s="271">
        <v>49.453</v>
      </c>
      <c r="D64" s="271">
        <v>188.41</v>
      </c>
      <c r="E64" s="271">
        <v>129.8</v>
      </c>
      <c r="F64" s="272">
        <v>7.078</v>
      </c>
      <c r="G64" s="273">
        <v>0.009674665768198679</v>
      </c>
      <c r="H64" s="223">
        <v>-7.030561212998387E-4</v>
      </c>
      <c r="I64" s="223">
        <v>0.005807450077301916</v>
      </c>
      <c r="J64" s="223">
        <v>0.0046212173789486055</v>
      </c>
      <c r="K64" s="223">
        <v>-1.93674867866959E-4</v>
      </c>
    </row>
    <row r="65">
      <c r="A65" s="165">
        <v>43692.97547184028</v>
      </c>
      <c r="B65" s="271">
        <v>4.927</v>
      </c>
      <c r="C65" s="271">
        <v>48.713</v>
      </c>
      <c r="D65" s="271">
        <v>188.49</v>
      </c>
      <c r="E65" s="271">
        <v>130.29</v>
      </c>
      <c r="F65" s="272">
        <v>7.087</v>
      </c>
      <c r="G65" s="273">
        <v>0.012723293899038257</v>
      </c>
      <c r="H65" s="223">
        <v>-0.0015265609959543476</v>
      </c>
      <c r="I65" s="223">
        <v>0.005894972202298621</v>
      </c>
      <c r="J65" s="223">
        <v>0.0061660218858823335</v>
      </c>
      <c r="K65" s="223">
        <v>0.002395287110036596</v>
      </c>
    </row>
    <row r="66">
      <c r="A66" s="165">
        <v>43691.975497384265</v>
      </c>
      <c r="B66" s="271">
        <v>4.88</v>
      </c>
      <c r="C66" s="271">
        <v>48.885</v>
      </c>
      <c r="D66" s="271">
        <v>187.25</v>
      </c>
      <c r="E66" s="271">
        <v>129.65</v>
      </c>
      <c r="F66" s="272">
        <v>7.057</v>
      </c>
      <c r="G66" s="273">
        <v>0.011469993248741059</v>
      </c>
      <c r="H66" s="223">
        <v>-0.002372980631128785</v>
      </c>
      <c r="I66" s="223">
        <v>0.004224148898432441</v>
      </c>
      <c r="J66" s="223">
        <v>0.004763225435509111</v>
      </c>
      <c r="K66" s="223">
        <v>-8.16012480351643E-4</v>
      </c>
    </row>
    <row r="67">
      <c r="A67" s="165">
        <v>43690.97550444445</v>
      </c>
      <c r="B67" s="271">
        <v>4.773</v>
      </c>
      <c r="C67" s="271">
        <v>49.547</v>
      </c>
      <c r="D67" s="271">
        <v>185.14</v>
      </c>
      <c r="E67" s="271">
        <v>128.0</v>
      </c>
      <c r="F67" s="272">
        <v>7.082</v>
      </c>
      <c r="G67" s="273">
        <v>0.009323617130711207</v>
      </c>
      <c r="H67" s="223">
        <v>3.3299042246918525E-4</v>
      </c>
      <c r="I67" s="223">
        <v>0.0017841986748832195</v>
      </c>
      <c r="J67" s="223">
        <v>0.0018773207859178465</v>
      </c>
      <c r="K67" s="223">
        <v>0.0018727173232093348</v>
      </c>
    </row>
    <row r="68">
      <c r="A68" s="165">
        <v>43689.97547914352</v>
      </c>
      <c r="B68" s="271">
        <v>4.741</v>
      </c>
      <c r="C68" s="271">
        <v>48.928</v>
      </c>
      <c r="D68" s="271">
        <v>185.17</v>
      </c>
      <c r="E68" s="271">
        <v>127.89</v>
      </c>
      <c r="F68" s="272">
        <v>7.036</v>
      </c>
      <c r="G68" s="273">
        <v>-4.820358916870863E-4</v>
      </c>
      <c r="H68" s="223">
        <v>0.003927424037031206</v>
      </c>
      <c r="I68" s="223">
        <v>-2.434244930817897E-4</v>
      </c>
      <c r="J68" s="223">
        <v>2.552244890395479E-4</v>
      </c>
      <c r="K68" s="223">
        <v>0.0052458032652700215</v>
      </c>
    </row>
    <row r="69">
      <c r="A69" s="165">
        <v>43686.97550260417</v>
      </c>
      <c r="B69" s="271">
        <v>4.7136</v>
      </c>
      <c r="C69" s="271">
        <v>49.225</v>
      </c>
      <c r="D69" s="271">
        <v>184.88</v>
      </c>
      <c r="E69" s="271">
        <v>127.8</v>
      </c>
      <c r="F69" s="272">
        <v>7.074</v>
      </c>
      <c r="G69" s="273">
        <v>0.00363168114320526</v>
      </c>
      <c r="H69" s="223">
        <v>0.006130090947772393</v>
      </c>
      <c r="I69" s="223">
        <v>7.096181464309274E-4</v>
      </c>
      <c r="J69" s="223">
        <v>0.006228749733520796</v>
      </c>
      <c r="K69" s="223">
        <v>0.002569534271496199</v>
      </c>
    </row>
    <row r="70">
      <c r="A70" s="165">
        <v>43685.976004537035</v>
      </c>
      <c r="B70" s="271">
        <v>4.6406</v>
      </c>
      <c r="C70" s="271">
        <v>49.492</v>
      </c>
      <c r="D70" s="271">
        <v>184.15</v>
      </c>
      <c r="E70" s="271">
        <v>127.28</v>
      </c>
      <c r="F70" s="272">
        <v>7.042</v>
      </c>
      <c r="G70" s="273">
        <v>0.001974321244912073</v>
      </c>
      <c r="H70" s="223">
        <v>0.005433665269744796</v>
      </c>
      <c r="I70" s="223">
        <v>-4.6417913745600003E-5</v>
      </c>
      <c r="J70" s="223">
        <v>0.007450674007608645</v>
      </c>
      <c r="K70" s="223">
        <v>-3.0763912966932004E-5</v>
      </c>
    </row>
    <row r="71">
      <c r="A71" s="165">
        <v>43684.0</v>
      </c>
      <c r="B71" s="274">
        <v>4.746</v>
      </c>
      <c r="C71" s="275">
        <v>48.34</v>
      </c>
      <c r="D71" s="274">
        <v>185.3</v>
      </c>
      <c r="E71" s="274">
        <v>127.79</v>
      </c>
      <c r="F71" s="276">
        <v>6.925</v>
      </c>
      <c r="G71" s="277">
        <v>0.0119</v>
      </c>
      <c r="H71" s="278">
        <v>-0.0109</v>
      </c>
      <c r="I71" s="225">
        <v>0.0022</v>
      </c>
      <c r="J71" s="279">
        <v>0.0101</v>
      </c>
      <c r="K71" s="278">
        <v>-0.0086</v>
      </c>
    </row>
    <row r="72">
      <c r="A72" s="165">
        <v>43683.975488449076</v>
      </c>
      <c r="B72" s="271">
        <v>4.66</v>
      </c>
      <c r="C72" s="271">
        <v>48.314</v>
      </c>
      <c r="D72" s="271">
        <v>184.48</v>
      </c>
      <c r="E72" s="271">
        <v>125.41</v>
      </c>
      <c r="F72" s="272">
        <v>7.018</v>
      </c>
      <c r="G72" s="273">
        <v>0.009021522781032262</v>
      </c>
      <c r="H72" s="223">
        <v>-0.02275474055484931</v>
      </c>
      <c r="I72" s="223">
        <v>0.0018094589492524404</v>
      </c>
      <c r="J72" s="223">
        <v>0.00910791447005351</v>
      </c>
      <c r="K72" s="223">
        <v>-0.009517563195677722</v>
      </c>
    </row>
    <row r="73">
      <c r="A73" s="165">
        <v>43682.97500170139</v>
      </c>
      <c r="B73" s="271">
        <v>4.611</v>
      </c>
      <c r="C73" s="271">
        <v>48.677</v>
      </c>
      <c r="D73" s="271">
        <v>184.17</v>
      </c>
      <c r="E73" s="271">
        <v>124.44</v>
      </c>
      <c r="F73" s="272">
        <v>7.041</v>
      </c>
      <c r="G73" s="273">
        <v>0.012425740177754219</v>
      </c>
      <c r="H73" s="223">
        <v>-0.01852808762733682</v>
      </c>
      <c r="I73" s="223">
        <v>0.0049191174024157585</v>
      </c>
      <c r="J73" s="223">
        <v>0.005792059877265017</v>
      </c>
      <c r="K73" s="223">
        <v>-0.011056713150930634</v>
      </c>
    </row>
    <row r="74">
      <c r="A74" s="165">
        <v>43679.97547806713</v>
      </c>
      <c r="B74" s="271">
        <v>4.578</v>
      </c>
      <c r="C74" s="271">
        <v>49.926</v>
      </c>
      <c r="D74" s="271">
        <v>184.09</v>
      </c>
      <c r="E74" s="271">
        <v>123.95</v>
      </c>
      <c r="F74" s="272">
        <v>7.105</v>
      </c>
      <c r="G74" s="273">
        <v>0.012517060137450279</v>
      </c>
      <c r="H74" s="223">
        <v>-0.009411027533389552</v>
      </c>
      <c r="I74" s="223">
        <v>0.006152037739797445</v>
      </c>
      <c r="J74" s="223">
        <v>0.0049429302942338715</v>
      </c>
      <c r="K74" s="223">
        <v>-0.006194583617850598</v>
      </c>
    </row>
    <row r="75">
      <c r="A75" s="165">
        <v>43678.97462300926</v>
      </c>
      <c r="B75" s="271">
        <v>4.535</v>
      </c>
      <c r="C75" s="271">
        <v>51.678</v>
      </c>
      <c r="D75" s="271">
        <v>183.48</v>
      </c>
      <c r="E75" s="271">
        <v>122.01</v>
      </c>
      <c r="F75" s="272">
        <v>7.22</v>
      </c>
      <c r="G75" s="273">
        <v>0.009159283908414214</v>
      </c>
      <c r="H75" s="223">
        <v>0.0013705335726517849</v>
      </c>
      <c r="I75" s="223">
        <v>0.0045679157700539985</v>
      </c>
      <c r="J75" s="223">
        <v>0.0013363425431813052</v>
      </c>
      <c r="K75" s="223">
        <v>-0.0010296200705727603</v>
      </c>
    </row>
    <row r="76">
      <c r="A76" s="165">
        <v>43677.97549697917</v>
      </c>
      <c r="B76" s="271">
        <v>4.441</v>
      </c>
      <c r="C76" s="271">
        <v>51.411</v>
      </c>
      <c r="D76" s="271">
        <v>181.46</v>
      </c>
      <c r="E76" s="271">
        <v>122.28</v>
      </c>
      <c r="F76" s="272">
        <v>7.277</v>
      </c>
      <c r="G76" s="273">
        <v>0.0014188041632714106</v>
      </c>
      <c r="H76" s="223">
        <v>-0.0010187893482007289</v>
      </c>
      <c r="I76" s="223">
        <v>5.297391469305524E-4</v>
      </c>
      <c r="J76" s="223">
        <v>0.0018819747097673645</v>
      </c>
      <c r="K76" s="223">
        <v>0.0015559310760040097</v>
      </c>
    </row>
    <row r="77">
      <c r="A77" s="165">
        <v>43676.97550030093</v>
      </c>
      <c r="B77" s="271">
        <v>4.408</v>
      </c>
      <c r="C77" s="271">
        <v>51.324</v>
      </c>
      <c r="D77" s="271">
        <v>180.71</v>
      </c>
      <c r="E77" s="271">
        <v>122.11</v>
      </c>
      <c r="F77" s="272">
        <v>7.237</v>
      </c>
      <c r="G77" s="273">
        <v>9.01782032857105E-4</v>
      </c>
      <c r="H77" s="223">
        <v>9.510001695782755E-4</v>
      </c>
      <c r="I77" s="223">
        <v>3.847530588441857E-4</v>
      </c>
      <c r="J77" s="223">
        <v>0.002295822542094187</v>
      </c>
      <c r="K77" s="223">
        <v>-0.0013808405102628818</v>
      </c>
    </row>
    <row r="78">
      <c r="A78" s="165">
        <v>43675.97545409722</v>
      </c>
      <c r="B78" s="271">
        <v>4.411</v>
      </c>
      <c r="C78" s="271">
        <v>51.465</v>
      </c>
      <c r="D78" s="271">
        <v>180.97</v>
      </c>
      <c r="E78" s="271">
        <v>121.52</v>
      </c>
      <c r="F78" s="272">
        <v>7.242</v>
      </c>
      <c r="G78" s="273">
        <v>-3.1206138306242676E-4</v>
      </c>
      <c r="H78" s="223">
        <v>0.0017364816882160887</v>
      </c>
      <c r="I78" s="223">
        <v>-1.88288753810939E-4</v>
      </c>
      <c r="J78" s="223">
        <v>-7.165777886927923E-4</v>
      </c>
      <c r="K78" s="223">
        <v>-0.003260537459003491</v>
      </c>
    </row>
    <row r="79">
      <c r="A79" s="165">
        <v>43672.97547709491</v>
      </c>
      <c r="B79" s="271">
        <v>4.422</v>
      </c>
      <c r="C79" s="271">
        <v>51.568</v>
      </c>
      <c r="D79" s="271">
        <v>181.17</v>
      </c>
      <c r="E79" s="271">
        <v>121.59</v>
      </c>
      <c r="F79" s="272">
        <v>7.243</v>
      </c>
      <c r="G79" s="273">
        <v>8.966947560348956E-4</v>
      </c>
      <c r="H79" s="223">
        <v>0.004324324710589411</v>
      </c>
      <c r="I79" s="223">
        <v>5.298690775158802E-4</v>
      </c>
      <c r="J79" s="223">
        <v>4.060744519193878E-4</v>
      </c>
      <c r="K79" s="223">
        <v>6.731722542004566E-5</v>
      </c>
    </row>
    <row r="80">
      <c r="A80" s="165">
        <v>43671.97546584491</v>
      </c>
      <c r="B80" s="271">
        <v>4.396</v>
      </c>
      <c r="C80" s="271">
        <v>51.176</v>
      </c>
      <c r="D80" s="271">
        <v>180.5</v>
      </c>
      <c r="E80" s="271">
        <v>121.27</v>
      </c>
      <c r="F80" s="272">
        <v>7.267</v>
      </c>
      <c r="G80" s="273">
        <v>-9.876169363790914E-4</v>
      </c>
      <c r="H80" s="223">
        <v>0.005071332144236755</v>
      </c>
      <c r="I80" s="223">
        <v>7.345581409235654E-4</v>
      </c>
      <c r="J80" s="223">
        <v>5.0328869208193794E-5</v>
      </c>
      <c r="K80" s="223">
        <v>0.0015861393453747337</v>
      </c>
    </row>
    <row r="81">
      <c r="A81" s="165">
        <v>43670.97513327547</v>
      </c>
      <c r="B81" s="271">
        <v>4.415</v>
      </c>
      <c r="C81" s="271">
        <v>51.196</v>
      </c>
      <c r="D81" s="271">
        <v>181.07</v>
      </c>
      <c r="E81" s="271">
        <v>121.78</v>
      </c>
      <c r="F81" s="272">
        <v>7.313</v>
      </c>
      <c r="G81" s="273">
        <v>0.0018744218814276126</v>
      </c>
      <c r="H81" s="223">
        <v>0.0031711782609266472</v>
      </c>
      <c r="I81" s="223">
        <v>0.0022128791516680866</v>
      </c>
      <c r="J81" s="223">
        <v>0.0011222625878678876</v>
      </c>
      <c r="K81" s="223">
        <v>0.004157048754011831</v>
      </c>
    </row>
    <row r="82">
      <c r="A82" s="165">
        <v>43669.97530571759</v>
      </c>
      <c r="B82" s="271">
        <v>4.41</v>
      </c>
      <c r="C82" s="271">
        <v>50.901</v>
      </c>
      <c r="D82" s="271">
        <v>180.88</v>
      </c>
      <c r="E82" s="271">
        <v>121.44</v>
      </c>
      <c r="F82" s="272">
        <v>7.241</v>
      </c>
      <c r="G82" s="273">
        <v>0.0025750798674126774</v>
      </c>
      <c r="H82" s="223">
        <v>0.0037747615965714187</v>
      </c>
      <c r="I82" s="223">
        <v>0.0025302550000252757</v>
      </c>
      <c r="J82" s="223">
        <v>0.0010704779270256741</v>
      </c>
      <c r="K82" s="223">
        <v>0.002721432523015451</v>
      </c>
    </row>
    <row r="83">
      <c r="A83" s="165">
        <v>43668.97515097223</v>
      </c>
      <c r="B83" s="271">
        <v>4.409</v>
      </c>
      <c r="C83" s="271">
        <v>50.4</v>
      </c>
      <c r="D83" s="271">
        <v>180.1</v>
      </c>
      <c r="E83" s="271">
        <v>121.25</v>
      </c>
      <c r="F83" s="272">
        <v>7.232</v>
      </c>
      <c r="G83" s="273">
        <v>0.0026518402079494705</v>
      </c>
      <c r="H83" s="223">
        <v>-0.0014866560226930818</v>
      </c>
      <c r="I83" s="223">
        <v>0.0015199264838167876</v>
      </c>
      <c r="J83" s="223">
        <v>0.0012098423160264253</v>
      </c>
      <c r="K83" s="223">
        <v>-0.0011273870995292719</v>
      </c>
    </row>
    <row r="84">
      <c r="A84" s="165">
        <v>43665.97546984954</v>
      </c>
      <c r="B84" s="271">
        <v>4.3902</v>
      </c>
      <c r="C84" s="271">
        <v>50.707</v>
      </c>
      <c r="D84" s="271">
        <v>179.87</v>
      </c>
      <c r="E84" s="271">
        <v>121.37</v>
      </c>
      <c r="F84" s="272">
        <v>7.222</v>
      </c>
      <c r="G84" s="270">
        <v>0.004301683234204508</v>
      </c>
      <c r="H84" s="221">
        <v>-0.0016621247786703004</v>
      </c>
      <c r="I84" s="221">
        <v>0.002358553577380351</v>
      </c>
      <c r="J84" s="221">
        <v>0.0043540757847858975</v>
      </c>
      <c r="K84" s="221">
        <v>-0.004620275092946602</v>
      </c>
    </row>
    <row r="85">
      <c r="A85" s="165">
        <v>43664.974203171296</v>
      </c>
      <c r="B85" s="271">
        <v>4.376</v>
      </c>
      <c r="C85" s="271">
        <v>50.323</v>
      </c>
      <c r="D85" s="271">
        <v>179.51</v>
      </c>
      <c r="E85" s="271">
        <v>121.05</v>
      </c>
      <c r="F85" s="272">
        <v>7.182</v>
      </c>
      <c r="G85" s="273">
        <v>0.002738949922299468</v>
      </c>
      <c r="H85" s="223">
        <v>-0.002865055548611014</v>
      </c>
      <c r="I85" s="223">
        <v>0.0018780418860221415</v>
      </c>
      <c r="J85" s="223">
        <v>0.0040874029241666126</v>
      </c>
      <c r="K85" s="223">
        <v>-0.006557535549825004</v>
      </c>
    </row>
    <row r="86">
      <c r="A86" s="165">
        <v>43663.975389074076</v>
      </c>
      <c r="B86" s="271">
        <v>4.374</v>
      </c>
      <c r="C86" s="271">
        <v>50.622</v>
      </c>
      <c r="D86" s="271">
        <v>179.28</v>
      </c>
      <c r="E86" s="271">
        <v>120.81</v>
      </c>
      <c r="F86" s="272">
        <v>7.256</v>
      </c>
      <c r="G86" s="273">
        <v>0.004737141426299736</v>
      </c>
      <c r="H86" s="223">
        <v>-5.3643913242755E-4</v>
      </c>
      <c r="I86" s="223">
        <v>0.002104548101380425</v>
      </c>
      <c r="J86" s="223">
        <v>0.004179216156747878</v>
      </c>
      <c r="K86" s="223">
        <v>-0.004169810162971614</v>
      </c>
    </row>
    <row r="87">
      <c r="A87" s="165">
        <v>43662.97548583333</v>
      </c>
      <c r="B87" s="271">
        <v>4.3337</v>
      </c>
      <c r="C87" s="271">
        <v>50.957</v>
      </c>
      <c r="D87" s="271">
        <v>178.6</v>
      </c>
      <c r="E87" s="271">
        <v>119.79</v>
      </c>
      <c r="F87" s="272">
        <v>7.322</v>
      </c>
      <c r="G87" s="273">
        <v>-0.0015807899945122401</v>
      </c>
      <c r="H87" s="223">
        <v>0.002570140582302686</v>
      </c>
      <c r="I87" s="223">
        <v>1.479310801828504E-4</v>
      </c>
      <c r="J87" s="223">
        <v>9.45768111550264E-4</v>
      </c>
      <c r="K87" s="223">
        <v>4.5011310621697237E-4</v>
      </c>
    </row>
    <row r="88">
      <c r="A88" s="165">
        <v>43661.97450056713</v>
      </c>
      <c r="B88" s="271">
        <v>4.34</v>
      </c>
      <c r="C88" s="271">
        <v>50.755</v>
      </c>
      <c r="D88" s="271">
        <v>178.5</v>
      </c>
      <c r="E88" s="271">
        <v>119.57</v>
      </c>
      <c r="F88" s="272">
        <v>7.324</v>
      </c>
      <c r="G88" s="273">
        <v>-0.003775744015345713</v>
      </c>
      <c r="H88" s="223">
        <v>0.002178261730881611</v>
      </c>
      <c r="I88" s="223">
        <v>-0.0012523885985960732</v>
      </c>
      <c r="J88" s="223">
        <v>8.079822208818163E-4</v>
      </c>
      <c r="K88" s="223">
        <v>0.0019087777901098206</v>
      </c>
    </row>
    <row r="89">
      <c r="A89" s="165">
        <v>43658.97443347222</v>
      </c>
      <c r="B89" s="271">
        <v>4.312</v>
      </c>
      <c r="C89" s="271">
        <v>50.702</v>
      </c>
      <c r="D89" s="271">
        <v>178.15</v>
      </c>
      <c r="E89" s="271">
        <v>119.3</v>
      </c>
      <c r="F89" s="272">
        <v>7.347</v>
      </c>
      <c r="G89" s="273">
        <v>-0.008052810092072185</v>
      </c>
      <c r="H89" s="223">
        <v>0.002418528540493107</v>
      </c>
      <c r="I89" s="223">
        <v>-0.0029106158417919747</v>
      </c>
      <c r="J89" s="223">
        <v>0.0011451576247869522</v>
      </c>
      <c r="K89" s="223">
        <v>0.006937987021123841</v>
      </c>
    </row>
    <row r="90">
      <c r="A90" s="165">
        <v>43657.97562332176</v>
      </c>
      <c r="B90" s="271">
        <v>4.354</v>
      </c>
      <c r="C90" s="271">
        <v>50.565</v>
      </c>
      <c r="D90" s="271">
        <v>178.52</v>
      </c>
      <c r="E90" s="271">
        <v>119.45</v>
      </c>
      <c r="F90" s="272">
        <v>7.312</v>
      </c>
      <c r="G90" s="273">
        <v>-0.006013512886372456</v>
      </c>
      <c r="H90" s="223">
        <v>0.0015906861321877501</v>
      </c>
      <c r="I90" s="223">
        <v>-0.002719122201444435</v>
      </c>
      <c r="J90" s="223">
        <v>0.0019287516833708107</v>
      </c>
      <c r="K90" s="223">
        <v>0.0052573803533870755</v>
      </c>
    </row>
    <row r="91">
      <c r="A91" s="165">
        <v>43656.97550833333</v>
      </c>
      <c r="B91" s="271">
        <v>4.389</v>
      </c>
      <c r="C91" s="271">
        <v>50.424</v>
      </c>
      <c r="D91" s="271">
        <v>179.17</v>
      </c>
      <c r="E91" s="271">
        <v>119.28</v>
      </c>
      <c r="F91" s="272">
        <v>7.282</v>
      </c>
      <c r="G91" s="273">
        <v>-0.0010029821523690103</v>
      </c>
      <c r="H91" s="223">
        <v>2.1077479833127763E-4</v>
      </c>
      <c r="I91" s="223">
        <v>-8.386985784713344E-4</v>
      </c>
      <c r="J91" s="223">
        <v>9.772023425073846E-4</v>
      </c>
      <c r="K91" s="223">
        <v>0.0030560847734454333</v>
      </c>
    </row>
    <row r="92">
      <c r="A92" s="165">
        <v>43655.97543931713</v>
      </c>
      <c r="B92" s="271">
        <v>4.417</v>
      </c>
      <c r="C92" s="271">
        <v>50.335</v>
      </c>
      <c r="D92" s="271">
        <v>179.71</v>
      </c>
      <c r="E92" s="271">
        <v>118.89</v>
      </c>
      <c r="F92" s="272">
        <v>7.195</v>
      </c>
      <c r="G92" s="273">
        <v>-0.002738334673249724</v>
      </c>
      <c r="H92" s="223">
        <v>-6.95080092386983E-4</v>
      </c>
      <c r="I92" s="223">
        <v>-5.207008539470278E-4</v>
      </c>
      <c r="J92" s="223">
        <v>-0.0020185532386547043</v>
      </c>
      <c r="K92" s="223">
        <v>0.0017994650878227307</v>
      </c>
    </row>
    <row r="93">
      <c r="A93" s="165">
        <v>43654.975507916664</v>
      </c>
      <c r="B93" s="271">
        <v>4.433</v>
      </c>
      <c r="C93" s="271">
        <v>50.324</v>
      </c>
      <c r="D93" s="271">
        <v>179.98</v>
      </c>
      <c r="E93" s="271">
        <v>118.76</v>
      </c>
      <c r="F93" s="272">
        <v>7.197</v>
      </c>
      <c r="G93" s="273">
        <v>-7.823196083171687E-4</v>
      </c>
      <c r="H93" s="223">
        <v>3.0265354321927046E-4</v>
      </c>
      <c r="I93" s="223">
        <v>-9.397218798675351E-5</v>
      </c>
      <c r="J93" s="223">
        <v>-0.0031633496112039397</v>
      </c>
      <c r="K93" s="223">
        <v>0.0027305792641917717</v>
      </c>
    </row>
    <row r="94">
      <c r="A94" s="165">
        <v>43651.9755315625</v>
      </c>
      <c r="B94" s="271">
        <v>4.402</v>
      </c>
      <c r="C94" s="271">
        <v>50.392</v>
      </c>
      <c r="D94" s="271">
        <v>179.62</v>
      </c>
      <c r="E94" s="271">
        <v>118.93</v>
      </c>
      <c r="F94" s="272">
        <v>7.215</v>
      </c>
      <c r="G94" s="273">
        <v>-1.1234662234146005E-4</v>
      </c>
      <c r="H94" s="223">
        <v>0.004518797401890391</v>
      </c>
      <c r="I94" s="223">
        <v>9.427068634448125E-4</v>
      </c>
      <c r="J94" s="223">
        <v>0.0020403580875087237</v>
      </c>
      <c r="K94" s="223">
        <v>0.0065996573680512744</v>
      </c>
    </row>
    <row r="95">
      <c r="A95" s="165">
        <v>43650.97576961806</v>
      </c>
      <c r="B95" s="271">
        <v>4.453</v>
      </c>
      <c r="C95" s="271">
        <v>50.44</v>
      </c>
      <c r="D95" s="271">
        <v>179.99</v>
      </c>
      <c r="E95" s="271">
        <v>119.61</v>
      </c>
      <c r="F95" s="272">
        <v>7.156</v>
      </c>
      <c r="G95" s="273">
        <v>0.00532421826848221</v>
      </c>
      <c r="H95" s="223">
        <v>0.004836308117877053</v>
      </c>
      <c r="I95" s="223">
        <v>0.002578479012471361</v>
      </c>
      <c r="J95" s="223">
        <v>0.006484526910907211</v>
      </c>
      <c r="K95" s="223">
        <v>6.69179586873625E-4</v>
      </c>
    </row>
    <row r="96">
      <c r="A96" s="165">
        <v>43649.975467337965</v>
      </c>
      <c r="B96" s="271">
        <v>4.443</v>
      </c>
      <c r="C96" s="271">
        <v>50.278</v>
      </c>
      <c r="D96" s="271">
        <v>180.03</v>
      </c>
      <c r="E96" s="271">
        <v>119.89</v>
      </c>
      <c r="F96" s="272">
        <v>7.138</v>
      </c>
      <c r="G96" s="273">
        <v>0.0065685699591605156</v>
      </c>
      <c r="H96" s="223">
        <v>0.009264287517081304</v>
      </c>
      <c r="I96" s="223">
        <v>0.004668234693601669</v>
      </c>
      <c r="J96" s="223">
        <v>0.004564979964502558</v>
      </c>
      <c r="K96" s="223">
        <v>-0.003763545494779678</v>
      </c>
    </row>
    <row r="97">
      <c r="A97" s="165">
        <v>43648.0</v>
      </c>
      <c r="B97" s="271">
        <v>4.403</v>
      </c>
      <c r="C97" s="271">
        <v>49.71</v>
      </c>
      <c r="D97" s="271">
        <v>179.11</v>
      </c>
      <c r="E97" s="271">
        <v>118.19</v>
      </c>
      <c r="F97" s="272">
        <v>7.073</v>
      </c>
      <c r="G97" s="270">
        <v>0.004332822680137756</v>
      </c>
      <c r="H97" s="221">
        <v>0.006787165381946607</v>
      </c>
      <c r="I97" s="221">
        <v>0.003002369347156401</v>
      </c>
      <c r="J97" s="221">
        <v>8.251187972236895E-4</v>
      </c>
      <c r="K97" s="221">
        <v>-0.00606004939137413</v>
      </c>
    </row>
    <row r="98">
      <c r="A98" s="165">
        <v>43647.97421108796</v>
      </c>
      <c r="B98" s="271">
        <v>4.3822</v>
      </c>
      <c r="C98" s="271">
        <v>49.71</v>
      </c>
      <c r="D98" s="271">
        <v>178.6</v>
      </c>
      <c r="E98" s="271">
        <v>117.29</v>
      </c>
      <c r="F98" s="272">
        <v>7.141</v>
      </c>
      <c r="G98" s="273">
        <v>0.003908621955457899</v>
      </c>
      <c r="H98" s="223">
        <v>0.005568846798481464</v>
      </c>
      <c r="I98" s="223">
        <v>0.0028231849972027248</v>
      </c>
      <c r="J98" s="223">
        <v>-0.0029289896732999456</v>
      </c>
      <c r="K98" s="223">
        <v>-0.0033644921736368794</v>
      </c>
    </row>
    <row r="99">
      <c r="A99" s="165">
        <v>43644.97564020833</v>
      </c>
      <c r="B99" s="271">
        <v>4.356</v>
      </c>
      <c r="C99" s="271">
        <v>48.89</v>
      </c>
      <c r="D99" s="271">
        <v>177.52</v>
      </c>
      <c r="E99" s="271">
        <v>118.24</v>
      </c>
      <c r="F99" s="272">
        <v>7.218</v>
      </c>
      <c r="G99" s="273">
        <v>6.856277634266957E-5</v>
      </c>
      <c r="H99" s="223">
        <v>-0.0012527063848627822</v>
      </c>
      <c r="I99" s="223">
        <v>-3.7833020403769496E-4</v>
      </c>
      <c r="J99" s="223">
        <v>-0.003976029988549549</v>
      </c>
      <c r="K99" s="223">
        <v>0.0015699485054186206</v>
      </c>
    </row>
    <row r="100">
      <c r="A100" s="165">
        <v>43643.975468206016</v>
      </c>
      <c r="B100" s="271">
        <v>4.346</v>
      </c>
      <c r="C100" s="271">
        <v>48.701</v>
      </c>
      <c r="D100" s="271">
        <v>177.5</v>
      </c>
      <c r="E100" s="271">
        <v>117.89</v>
      </c>
      <c r="F100" s="272">
        <v>7.202</v>
      </c>
      <c r="G100" s="273">
        <v>9.872229894397992E-4</v>
      </c>
      <c r="H100" s="223">
        <v>-0.004361730663558679</v>
      </c>
      <c r="I100" s="223">
        <v>7.282371816019021E-4</v>
      </c>
      <c r="J100" s="223">
        <v>-0.0015639216572471693</v>
      </c>
      <c r="K100" s="223">
        <v>0.004589406891541081</v>
      </c>
    </row>
    <row r="101">
      <c r="A101" s="165">
        <v>43642.97549344908</v>
      </c>
      <c r="B101" s="271">
        <v>4.331</v>
      </c>
      <c r="C101" s="271">
        <v>48.879</v>
      </c>
      <c r="D101" s="271">
        <v>177.09</v>
      </c>
      <c r="E101" s="271">
        <v>118.32</v>
      </c>
      <c r="F101" s="272">
        <v>7.213</v>
      </c>
      <c r="G101" s="273">
        <v>-5.286729375610921E-4</v>
      </c>
      <c r="H101" s="223">
        <v>-0.006055121746834535</v>
      </c>
      <c r="I101" s="223">
        <v>-9.639299366288601E-4</v>
      </c>
      <c r="J101" s="223">
        <v>0.0028324014385575267</v>
      </c>
      <c r="K101" s="223">
        <v>0.003502954782208042</v>
      </c>
    </row>
    <row r="102">
      <c r="A102" s="165">
        <v>43641.975501678244</v>
      </c>
      <c r="B102" s="271">
        <v>4.355</v>
      </c>
      <c r="C102" s="271">
        <v>49.073</v>
      </c>
      <c r="D102" s="271">
        <v>177.72</v>
      </c>
      <c r="E102" s="271">
        <v>119.65</v>
      </c>
      <c r="F102" s="272">
        <v>7.184</v>
      </c>
      <c r="G102" s="273">
        <v>-0.003522743999255414</v>
      </c>
      <c r="H102" s="223">
        <v>-0.00399543421649932</v>
      </c>
      <c r="I102" s="223">
        <v>-0.003606921055818576</v>
      </c>
      <c r="J102" s="223">
        <v>0.006948725629403296</v>
      </c>
      <c r="K102" s="223">
        <v>7.149280392547327E-4</v>
      </c>
    </row>
    <row r="103">
      <c r="A103" s="165">
        <v>43640.97546922453</v>
      </c>
      <c r="B103" s="271">
        <v>4.333</v>
      </c>
      <c r="C103" s="271">
        <v>49.341</v>
      </c>
      <c r="D103" s="271">
        <v>177.11</v>
      </c>
      <c r="E103" s="271">
        <v>118.43</v>
      </c>
      <c r="F103" s="272">
        <v>7.103</v>
      </c>
      <c r="G103" s="273">
        <v>-0.0036159942908690437</v>
      </c>
      <c r="H103" s="223">
        <v>-0.0012487554869865154</v>
      </c>
      <c r="I103" s="223">
        <v>-0.0035634825896196562</v>
      </c>
      <c r="J103" s="223">
        <v>0.011743147089214053</v>
      </c>
      <c r="K103" s="223">
        <v>-2.067423062219742E-4</v>
      </c>
    </row>
    <row r="104">
      <c r="A104" s="165">
        <v>43637.97546983796</v>
      </c>
      <c r="B104" s="271">
        <v>4.33775</v>
      </c>
      <c r="C104" s="271">
        <v>49.772</v>
      </c>
      <c r="D104" s="271">
        <v>177.6</v>
      </c>
      <c r="E104" s="271">
        <v>117.3</v>
      </c>
      <c r="F104" s="272">
        <v>7.137</v>
      </c>
      <c r="G104" s="273">
        <v>-0.005628951717316662</v>
      </c>
      <c r="H104" s="223">
        <v>3.8411294452841044E-4</v>
      </c>
      <c r="I104" s="223">
        <v>-0.003963428672007903</v>
      </c>
      <c r="J104" s="223">
        <v>0.0075710171723895785</v>
      </c>
      <c r="K104" s="223">
        <v>-7.217675470942986E-4</v>
      </c>
    </row>
    <row r="105">
      <c r="A105" s="165">
        <v>43636.975486006944</v>
      </c>
      <c r="B105" s="271">
        <v>4.40075</v>
      </c>
      <c r="C105" s="271">
        <v>49.662</v>
      </c>
      <c r="D105" s="271">
        <v>179.64</v>
      </c>
      <c r="E105" s="271">
        <v>117.17</v>
      </c>
      <c r="F105" s="272">
        <v>7.168</v>
      </c>
      <c r="G105" s="273">
        <v>0.0021783374832345195</v>
      </c>
      <c r="H105" s="223">
        <v>0.00417330837251928</v>
      </c>
      <c r="I105" s="223">
        <v>0.0017202403623372369</v>
      </c>
      <c r="J105" s="223">
        <v>0.009702393715132485</v>
      </c>
      <c r="K105" s="223">
        <v>0.00384875600929128</v>
      </c>
    </row>
    <row r="106">
      <c r="A106" s="165">
        <v>43635.97548136574</v>
      </c>
      <c r="B106" s="271">
        <v>4.37975</v>
      </c>
      <c r="C106" s="271">
        <v>49.524</v>
      </c>
      <c r="D106" s="271">
        <v>179.0</v>
      </c>
      <c r="E106" s="271">
        <v>114.29</v>
      </c>
      <c r="F106" s="272">
        <v>7.107</v>
      </c>
      <c r="G106" s="273">
        <v>8.507520771211899E-4</v>
      </c>
      <c r="H106" s="223">
        <v>0.003661682814600775</v>
      </c>
      <c r="I106" s="223">
        <v>2.155927829314841E-4</v>
      </c>
      <c r="J106" s="223">
        <v>-0.0013035220801326242</v>
      </c>
      <c r="K106" s="223">
        <v>2.1226265268622E-4</v>
      </c>
    </row>
    <row r="107">
      <c r="A107" s="165">
        <v>43634.97408905093</v>
      </c>
      <c r="B107" s="271">
        <v>4.411</v>
      </c>
      <c r="C107" s="271">
        <v>49.714</v>
      </c>
      <c r="D107" s="271">
        <v>179.71</v>
      </c>
      <c r="E107" s="271">
        <v>114.63</v>
      </c>
      <c r="F107" s="272">
        <v>7.152</v>
      </c>
      <c r="G107" s="273">
        <v>0.0059075097010123185</v>
      </c>
      <c r="H107" s="223">
        <v>0.006669191342624965</v>
      </c>
      <c r="I107" s="223">
        <v>0.0036993510237379734</v>
      </c>
      <c r="J107" s="223">
        <v>0.0038427894074595606</v>
      </c>
      <c r="K107" s="223">
        <v>0.006171538963217649</v>
      </c>
    </row>
    <row r="108">
      <c r="A108" s="165">
        <v>43633.97545405093</v>
      </c>
      <c r="B108" s="271">
        <v>4.3717500000000005</v>
      </c>
      <c r="C108" s="271">
        <v>49.039</v>
      </c>
      <c r="D108" s="271">
        <v>178.71</v>
      </c>
      <c r="E108" s="271">
        <v>113.77</v>
      </c>
      <c r="F108" s="272">
        <v>7.085</v>
      </c>
      <c r="G108" s="273">
        <v>8.990694922351716E-4</v>
      </c>
      <c r="H108" s="223">
        <v>0.004052013549320203</v>
      </c>
      <c r="I108" s="223">
        <v>0.003963949635837387</v>
      </c>
      <c r="J108" s="223">
        <v>0.004284031510138379</v>
      </c>
      <c r="K108" s="223">
        <v>0.005090654688821046</v>
      </c>
    </row>
    <row r="109">
      <c r="A109" s="165">
        <v>43630.97545363426</v>
      </c>
      <c r="B109" s="268">
        <v>4.3683</v>
      </c>
      <c r="C109" s="271">
        <v>48.978</v>
      </c>
      <c r="D109" s="271">
        <v>178.88</v>
      </c>
      <c r="E109" s="271">
        <v>114.73</v>
      </c>
      <c r="F109" s="272">
        <v>7.102</v>
      </c>
      <c r="G109" s="273">
        <v>0.0013382787207149398</v>
      </c>
      <c r="H109" s="223">
        <v>0.0024951888429421607</v>
      </c>
      <c r="I109" s="223">
        <v>0.00492282485515864</v>
      </c>
      <c r="J109" s="223">
        <v>0.008669890895926883</v>
      </c>
      <c r="K109" s="223">
        <v>0.006511554835679186</v>
      </c>
    </row>
    <row r="110">
      <c r="A110" s="165">
        <v>43629.97491225695</v>
      </c>
      <c r="B110" s="271">
        <v>4.3332</v>
      </c>
      <c r="C110" s="271">
        <v>48.724</v>
      </c>
      <c r="D110" s="271">
        <v>177.72</v>
      </c>
      <c r="E110" s="271">
        <v>113.3</v>
      </c>
      <c r="F110" s="272">
        <v>7.02</v>
      </c>
      <c r="G110" s="273">
        <v>-0.004034847295560584</v>
      </c>
      <c r="H110" s="223">
        <v>-4.3348119271939084E-4</v>
      </c>
      <c r="I110" s="223">
        <v>0.0021182007585998455</v>
      </c>
      <c r="J110" s="223">
        <v>0.0035310449808704978</v>
      </c>
      <c r="K110" s="223">
        <v>0.0026150085014264857</v>
      </c>
    </row>
    <row r="111">
      <c r="A111" s="165">
        <v>43628.97551230324</v>
      </c>
      <c r="B111" s="271">
        <v>4.35975</v>
      </c>
      <c r="C111" s="271">
        <v>48.445</v>
      </c>
      <c r="D111" s="271">
        <v>176.59</v>
      </c>
      <c r="E111" s="271">
        <v>112.3</v>
      </c>
      <c r="F111" s="272">
        <v>6.977</v>
      </c>
      <c r="G111" s="273">
        <v>-0.0017644655885351208</v>
      </c>
      <c r="H111" s="223">
        <v>0.001238070617818628</v>
      </c>
      <c r="I111" s="223">
        <v>-0.0016245840393469175</v>
      </c>
      <c r="J111" s="223">
        <v>-0.0026521505279098654</v>
      </c>
      <c r="K111" s="223">
        <v>0.0014346732339890107</v>
      </c>
    </row>
    <row r="112">
      <c r="A112" s="165">
        <v>43627.0</v>
      </c>
      <c r="B112" s="280">
        <v>4.352</v>
      </c>
      <c r="C112" s="280">
        <v>48.611</v>
      </c>
      <c r="D112" s="280">
        <v>176.25</v>
      </c>
      <c r="E112" s="280">
        <v>111.77</v>
      </c>
      <c r="F112" s="272">
        <v>6.964</v>
      </c>
      <c r="G112" s="270">
        <v>-0.0021301868124077306</v>
      </c>
      <c r="H112" s="221">
        <v>0.007054352041260333</v>
      </c>
      <c r="I112" s="221">
        <v>-0.0025708785037819037</v>
      </c>
      <c r="J112" s="221">
        <v>-0.0028788560698801056</v>
      </c>
      <c r="K112" s="221">
        <v>8.986009334925142E-5</v>
      </c>
    </row>
    <row r="113">
      <c r="A113" s="220">
        <v>43626.97555510417</v>
      </c>
      <c r="B113" s="281">
        <v>4.38575</v>
      </c>
      <c r="C113" s="281">
        <v>48.786</v>
      </c>
      <c r="D113" s="281">
        <v>176.59</v>
      </c>
      <c r="E113" s="281">
        <v>112.1</v>
      </c>
      <c r="F113" s="269">
        <v>6.965</v>
      </c>
      <c r="G113" s="270">
        <v>4.530633307278838E-4</v>
      </c>
      <c r="H113" s="221">
        <v>0.008241465811113883</v>
      </c>
      <c r="I113" s="221">
        <v>-0.0019247209380136947</v>
      </c>
      <c r="J113" s="221">
        <v>-0.0018851226822851341</v>
      </c>
      <c r="K113" s="221">
        <v>1.3760160443846795E-4</v>
      </c>
    </row>
    <row r="114">
      <c r="A114" s="220">
        <v>43623.97553260416</v>
      </c>
      <c r="B114" s="281">
        <v>4.38275</v>
      </c>
      <c r="C114" s="281">
        <v>48.262</v>
      </c>
      <c r="D114" s="281">
        <v>177.45</v>
      </c>
      <c r="E114" s="281">
        <v>113.19</v>
      </c>
      <c r="F114" s="269">
        <v>6.947</v>
      </c>
      <c r="G114" s="270">
        <v>-7.453228632249657E-4</v>
      </c>
      <c r="H114" s="221">
        <v>0.007497993728563301</v>
      </c>
      <c r="I114" s="221">
        <v>-5.739470131567911E-5</v>
      </c>
      <c r="J114" s="221">
        <v>0.003100612497800359</v>
      </c>
      <c r="K114" s="221">
        <v>-0.005368107815700888</v>
      </c>
    </row>
    <row r="115">
      <c r="A115" s="220">
        <v>43622.97405748843</v>
      </c>
      <c r="B115" s="281">
        <v>4.39475</v>
      </c>
      <c r="C115" s="281">
        <v>47.772</v>
      </c>
      <c r="D115" s="281">
        <v>177.82</v>
      </c>
      <c r="E115" s="281">
        <v>112.95</v>
      </c>
      <c r="F115" s="269">
        <v>6.929</v>
      </c>
      <c r="G115" s="270">
        <v>-0.0026404702304909655</v>
      </c>
      <c r="H115" s="221">
        <v>0.006925376193900434</v>
      </c>
      <c r="I115" s="221">
        <v>-0.0011653832956515602</v>
      </c>
      <c r="J115" s="221">
        <v>0.002156038290213084</v>
      </c>
      <c r="K115" s="221">
        <v>-0.0071762108145877095</v>
      </c>
    </row>
    <row r="116">
      <c r="A116" s="220">
        <v>43621.97554784722</v>
      </c>
      <c r="B116" s="281">
        <v>4.37975</v>
      </c>
      <c r="C116" s="281">
        <v>47.589</v>
      </c>
      <c r="D116" s="281">
        <v>177.61</v>
      </c>
      <c r="E116" s="281">
        <v>112.73</v>
      </c>
      <c r="F116" s="269">
        <v>6.962</v>
      </c>
      <c r="G116" s="270">
        <v>-0.003748090159701863</v>
      </c>
      <c r="H116" s="221">
        <v>0.0027202511996985055</v>
      </c>
      <c r="I116" s="221">
        <v>-0.0012975139858970957</v>
      </c>
      <c r="J116" s="221">
        <v>0.00435832507237673</v>
      </c>
      <c r="K116" s="221">
        <v>-0.010203267894180282</v>
      </c>
    </row>
    <row r="117">
      <c r="A117" s="220">
        <v>43620.97553408565</v>
      </c>
      <c r="B117" s="281">
        <v>4.3925</v>
      </c>
      <c r="C117" s="281">
        <v>47.184</v>
      </c>
      <c r="D117" s="281">
        <v>177.48</v>
      </c>
      <c r="E117" s="281">
        <v>112.14</v>
      </c>
      <c r="F117" s="269">
        <v>7.059</v>
      </c>
      <c r="G117" s="270">
        <v>6.842372523321316E-4</v>
      </c>
      <c r="H117" s="221">
        <v>-0.0026166977232058297</v>
      </c>
      <c r="I117" s="221">
        <v>-2.3283841874562525E-4</v>
      </c>
      <c r="J117" s="221">
        <v>0.006838083009302294</v>
      </c>
      <c r="K117" s="221">
        <v>-0.009274581476617897</v>
      </c>
    </row>
    <row r="118">
      <c r="A118" s="220">
        <v>43619.97560135416</v>
      </c>
      <c r="B118" s="281">
        <v>4.4295</v>
      </c>
      <c r="C118" s="281">
        <v>46.786</v>
      </c>
      <c r="D118" s="281">
        <v>178.44</v>
      </c>
      <c r="E118" s="281">
        <v>112.22</v>
      </c>
      <c r="F118" s="269">
        <v>7.079</v>
      </c>
      <c r="G118" s="270">
        <v>0.002632692271141305</v>
      </c>
      <c r="H118" s="221">
        <v>-0.0045871832231465515</v>
      </c>
      <c r="I118" s="221">
        <v>0.0014763377960086421</v>
      </c>
      <c r="J118" s="221">
        <v>0.0074096694993781576</v>
      </c>
      <c r="K118" s="221">
        <v>-0.00869762194442599</v>
      </c>
    </row>
    <row r="119">
      <c r="A119" s="220">
        <v>43616.97553696759</v>
      </c>
      <c r="B119" s="281">
        <v>4.4291</v>
      </c>
      <c r="C119" s="281">
        <v>47.197</v>
      </c>
      <c r="D119" s="281">
        <v>178.3</v>
      </c>
      <c r="E119" s="281">
        <v>111.26</v>
      </c>
      <c r="F119" s="269">
        <v>7.177</v>
      </c>
      <c r="G119" s="270">
        <v>0.0068731778632566964</v>
      </c>
      <c r="H119" s="221">
        <v>-0.006100496470674603</v>
      </c>
      <c r="I119" s="221">
        <v>0.003184978036527878</v>
      </c>
      <c r="J119" s="221">
        <v>0.006502116706757044</v>
      </c>
      <c r="K119" s="221">
        <v>-0.00220186879171802</v>
      </c>
    </row>
    <row r="120">
      <c r="A120" s="220">
        <v>43615.97552291666</v>
      </c>
      <c r="B120" s="281">
        <v>4.3831</v>
      </c>
      <c r="C120" s="281">
        <v>47.551</v>
      </c>
      <c r="D120" s="281">
        <v>177.6</v>
      </c>
      <c r="E120" s="281">
        <v>109.85</v>
      </c>
      <c r="F120" s="269">
        <v>7.257</v>
      </c>
      <c r="G120" s="270">
        <v>0.00540902788996885</v>
      </c>
      <c r="H120" s="221">
        <v>-0.0035379194859945415</v>
      </c>
      <c r="I120" s="221">
        <v>0.003140950374579843</v>
      </c>
      <c r="J120" s="221">
        <v>7.501268479615705E-4</v>
      </c>
      <c r="K120" s="221">
        <v>0.0026211238152486307</v>
      </c>
    </row>
    <row r="121">
      <c r="A121" s="220">
        <v>43614.97553484954</v>
      </c>
      <c r="B121" s="281">
        <v>4.3944</v>
      </c>
      <c r="C121" s="281">
        <v>47.431</v>
      </c>
      <c r="D121" s="281">
        <v>177.65</v>
      </c>
      <c r="E121" s="281">
        <v>109.74</v>
      </c>
      <c r="F121" s="269">
        <v>7.265</v>
      </c>
      <c r="G121" s="270">
        <v>0.007969030057179268</v>
      </c>
      <c r="H121" s="221">
        <v>-0.0036646475692296843</v>
      </c>
      <c r="I121" s="221">
        <v>0.003916883685825545</v>
      </c>
      <c r="J121" s="221">
        <v>0.0011462653557918756</v>
      </c>
      <c r="K121" s="221">
        <v>0.005627474005869122</v>
      </c>
    </row>
    <row r="122">
      <c r="A122" s="220">
        <v>43613.9755316088</v>
      </c>
      <c r="B122" s="281">
        <v>4.3381</v>
      </c>
      <c r="C122" s="281">
        <v>48.063</v>
      </c>
      <c r="D122" s="281">
        <v>176.6</v>
      </c>
      <c r="E122" s="281">
        <v>109.1</v>
      </c>
      <c r="F122" s="269">
        <v>7.224</v>
      </c>
      <c r="G122" s="270">
        <v>0.0026883657845556317</v>
      </c>
      <c r="H122" s="221">
        <v>2.763811325593446E-4</v>
      </c>
      <c r="I122" s="221">
        <v>2.7596901968055904E-4</v>
      </c>
      <c r="J122" s="221">
        <v>-0.002474143851544245</v>
      </c>
      <c r="K122" s="221">
        <v>0.0038396400676637223</v>
      </c>
    </row>
    <row r="123">
      <c r="A123" s="220">
        <v>43612.975542280095</v>
      </c>
      <c r="B123" s="281">
        <v>4.3121</v>
      </c>
      <c r="C123" s="281">
        <v>48.054</v>
      </c>
      <c r="D123" s="281">
        <v>175.93</v>
      </c>
      <c r="E123" s="281">
        <v>109.6</v>
      </c>
      <c r="F123" s="269">
        <v>7.2</v>
      </c>
      <c r="G123" s="270">
        <v>0.004253885933116745</v>
      </c>
      <c r="H123" s="221">
        <v>-0.004644819887999141</v>
      </c>
      <c r="I123" s="221">
        <v>0.0015805294856722958</v>
      </c>
      <c r="J123" s="221">
        <v>0.0018133404254423446</v>
      </c>
      <c r="K123" s="221">
        <v>-0.0017489447473338915</v>
      </c>
    </row>
    <row r="124">
      <c r="A124" s="220">
        <v>43609.975521319444</v>
      </c>
      <c r="B124" s="281">
        <v>4.2901</v>
      </c>
      <c r="C124" s="281">
        <v>47.951</v>
      </c>
      <c r="D124" s="281">
        <v>175.57</v>
      </c>
      <c r="E124" s="281">
        <v>109.36</v>
      </c>
      <c r="F124" s="269">
        <v>7.143</v>
      </c>
      <c r="G124" s="270">
        <v>0.004354158085313031</v>
      </c>
      <c r="H124" s="221">
        <v>-0.005680839490699012</v>
      </c>
      <c r="I124" s="221">
        <v>0.0015266883477011255</v>
      </c>
      <c r="J124" s="221">
        <v>0.0016032910939839755</v>
      </c>
      <c r="K124" s="221">
        <v>-0.007612005714892585</v>
      </c>
    </row>
    <row r="125">
      <c r="A125" s="220">
        <v>43608.97554622685</v>
      </c>
      <c r="B125" s="281">
        <v>4.3031</v>
      </c>
      <c r="C125" s="281">
        <v>48.023</v>
      </c>
      <c r="D125" s="281">
        <v>176.45</v>
      </c>
      <c r="E125" s="281">
        <v>109.91</v>
      </c>
      <c r="F125" s="269">
        <v>7.141</v>
      </c>
      <c r="G125" s="270">
        <v>0.004891880150281598</v>
      </c>
      <c r="H125" s="221">
        <v>-0.003075209285140342</v>
      </c>
      <c r="I125" s="221">
        <v>0.002777813854833592</v>
      </c>
      <c r="J125" s="221">
        <v>0.0022689607671360448</v>
      </c>
      <c r="K125" s="221">
        <v>-0.007477245397462602</v>
      </c>
    </row>
    <row r="126">
      <c r="A126" s="220">
        <v>43607.97554151621</v>
      </c>
      <c r="B126" s="281">
        <v>4.2571</v>
      </c>
      <c r="C126" s="281">
        <v>48.723</v>
      </c>
      <c r="D126" s="281">
        <v>175.09</v>
      </c>
      <c r="E126" s="281">
        <v>109.0</v>
      </c>
      <c r="F126" s="269">
        <v>7.237</v>
      </c>
      <c r="G126" s="270">
        <v>9.354850939508053E-4</v>
      </c>
      <c r="H126" s="221">
        <v>-0.0021507804052096255</v>
      </c>
      <c r="I126" s="221">
        <v>-2.4856988074088243E-4</v>
      </c>
      <c r="J126" s="221">
        <v>-5.214092522309866E-4</v>
      </c>
      <c r="K126" s="221">
        <v>-0.0027678323259427242</v>
      </c>
    </row>
    <row r="127">
      <c r="A127" s="220">
        <v>43606.97556091435</v>
      </c>
      <c r="B127" s="281">
        <v>4.2341</v>
      </c>
      <c r="C127" s="281">
        <v>48.77</v>
      </c>
      <c r="D127" s="281">
        <v>174.76</v>
      </c>
      <c r="E127" s="281">
        <v>108.83</v>
      </c>
      <c r="F127" s="269">
        <v>7.307</v>
      </c>
      <c r="G127" s="270">
        <v>-1.6869500965022155E-6</v>
      </c>
      <c r="H127" s="221">
        <v>-0.0024138631501592345</v>
      </c>
      <c r="I127" s="221">
        <v>-2.109885864603663E-4</v>
      </c>
      <c r="J127" s="221">
        <v>-0.002873292057686309</v>
      </c>
      <c r="K127" s="221">
        <v>-0.0010511290700768727</v>
      </c>
    </row>
    <row r="128">
      <c r="A128" s="220">
        <v>43605.97554951389</v>
      </c>
      <c r="B128" s="281">
        <v>4.2401</v>
      </c>
      <c r="C128" s="281">
        <v>48.462</v>
      </c>
      <c r="D128" s="281">
        <v>174.98</v>
      </c>
      <c r="E128" s="281">
        <v>109.16</v>
      </c>
      <c r="F128" s="269">
        <v>7.302</v>
      </c>
      <c r="G128" s="270">
        <v>7.855720502420264E-4</v>
      </c>
      <c r="H128" s="221">
        <v>6.452412524555751E-4</v>
      </c>
      <c r="I128" s="221">
        <v>-0.003679968446501721</v>
      </c>
      <c r="J128" s="221">
        <v>-0.0037148993061507283</v>
      </c>
      <c r="K128" s="221">
        <v>0.001312866458203869</v>
      </c>
    </row>
    <row r="129">
      <c r="A129" s="220">
        <v>43602.975541527776</v>
      </c>
      <c r="B129" s="281">
        <v>4.2451</v>
      </c>
      <c r="C129" s="281">
        <v>49.034</v>
      </c>
      <c r="D129" s="281">
        <v>175.22</v>
      </c>
      <c r="E129" s="281">
        <v>109.17</v>
      </c>
      <c r="F129" s="269">
        <v>7.297</v>
      </c>
      <c r="G129" s="270">
        <v>0.002833451755630175</v>
      </c>
      <c r="H129" s="221">
        <v>0.0054549925196731115</v>
      </c>
      <c r="I129" s="221">
        <v>-0.0021676228853399295</v>
      </c>
      <c r="J129" s="221">
        <v>-0.0032615811852640952</v>
      </c>
      <c r="K129" s="221">
        <v>0.0031928727634088863</v>
      </c>
    </row>
    <row r="130">
      <c r="A130" s="220">
        <v>43601.97555957176</v>
      </c>
      <c r="B130" s="281">
        <v>4.2341</v>
      </c>
      <c r="C130" s="281">
        <v>49.12</v>
      </c>
      <c r="D130" s="281">
        <v>174.87</v>
      </c>
      <c r="E130" s="281">
        <v>109.77</v>
      </c>
      <c r="F130" s="269">
        <v>7.33</v>
      </c>
      <c r="G130" s="270">
        <v>0.0011065017363527385</v>
      </c>
      <c r="H130" s="221">
        <v>0.010338288424068623</v>
      </c>
      <c r="I130" s="221">
        <v>-0.0023798091861138015</v>
      </c>
      <c r="J130" s="221">
        <v>-0.001520287231266663</v>
      </c>
      <c r="K130" s="221">
        <v>0.010373511642944458</v>
      </c>
    </row>
    <row r="131">
      <c r="A131" s="220">
        <v>43600.97568125</v>
      </c>
      <c r="B131" s="281">
        <v>4.2301</v>
      </c>
      <c r="C131" s="281">
        <v>48.359</v>
      </c>
      <c r="D131" s="281">
        <v>176.91</v>
      </c>
      <c r="E131" s="281">
        <v>110.38</v>
      </c>
      <c r="F131" s="269">
        <v>7.273</v>
      </c>
      <c r="G131" s="270">
        <v>0.002497759273658066</v>
      </c>
      <c r="H131" s="221">
        <v>0.0037457933825839618</v>
      </c>
      <c r="I131" s="221">
        <v>0.0023794617298278364</v>
      </c>
      <c r="J131" s="221">
        <v>0.0032944962908181643</v>
      </c>
      <c r="K131" s="221">
        <v>0.006045313219418665</v>
      </c>
    </row>
    <row r="132">
      <c r="A132" s="220">
        <v>43599.97562747685</v>
      </c>
      <c r="B132" s="281">
        <v>4.2091</v>
      </c>
      <c r="C132" s="281">
        <v>48.232</v>
      </c>
      <c r="D132" s="281">
        <v>176.35</v>
      </c>
      <c r="E132" s="281">
        <v>110.24</v>
      </c>
      <c r="F132" s="269">
        <v>7.227</v>
      </c>
      <c r="G132" s="270">
        <v>0.0014225379326824328</v>
      </c>
      <c r="H132" s="221">
        <v>0.001204217515171968</v>
      </c>
      <c r="I132" s="221">
        <v>0.001305334144123112</v>
      </c>
      <c r="J132" s="221">
        <v>0.0033597126778897035</v>
      </c>
      <c r="K132" s="221">
        <v>0.005990926284462035</v>
      </c>
    </row>
    <row r="133">
      <c r="A133" s="220">
        <v>43598.97569363426</v>
      </c>
      <c r="B133" s="281">
        <v>4.22</v>
      </c>
      <c r="C133" s="281">
        <v>47.61</v>
      </c>
      <c r="D133" s="281">
        <v>176.11</v>
      </c>
      <c r="E133" s="281">
        <v>110.27</v>
      </c>
      <c r="F133" s="269">
        <v>7.104</v>
      </c>
      <c r="G133" s="270">
        <v>0.0014904108626011918</v>
      </c>
      <c r="H133" s="221">
        <v>-0.008983780566980126</v>
      </c>
      <c r="I133" s="221">
        <v>5.101218811881155E-4</v>
      </c>
      <c r="J133" s="221">
        <v>0.0032977008014890194</v>
      </c>
      <c r="K133" s="221">
        <v>-0.004426032227485462</v>
      </c>
    </row>
    <row r="134">
      <c r="A134" s="220">
        <v>43595.97561037037</v>
      </c>
      <c r="B134" s="281">
        <v>4.1984</v>
      </c>
      <c r="C134" s="281">
        <v>47.814</v>
      </c>
      <c r="D134" s="281">
        <v>175.65</v>
      </c>
      <c r="E134" s="281">
        <v>109.29</v>
      </c>
      <c r="F134" s="269">
        <v>7.141</v>
      </c>
      <c r="G134" s="270">
        <v>-2.950945735549215E-4</v>
      </c>
      <c r="H134" s="221">
        <v>-0.008857432770460768</v>
      </c>
      <c r="I134" s="221">
        <v>-8.723750079487521E-4</v>
      </c>
      <c r="J134" s="221">
        <v>-6.72235293076214E-4</v>
      </c>
      <c r="K134" s="221">
        <v>-0.002782539436278079</v>
      </c>
    </row>
    <row r="135">
      <c r="A135" s="220">
        <v>43594.975676284725</v>
      </c>
      <c r="B135" s="281">
        <v>4.1911</v>
      </c>
      <c r="C135" s="281">
        <v>48.053</v>
      </c>
      <c r="D135" s="281">
        <v>175.66</v>
      </c>
      <c r="E135" s="281">
        <v>109.13</v>
      </c>
      <c r="F135" s="269">
        <v>7.097</v>
      </c>
      <c r="G135" s="270">
        <v>0.0011084549688800127</v>
      </c>
      <c r="H135" s="221">
        <v>-0.009880028472931087</v>
      </c>
      <c r="I135" s="221">
        <v>1.686905920416463E-4</v>
      </c>
      <c r="J135" s="221">
        <v>1.7906571787344264E-4</v>
      </c>
      <c r="K135" s="221">
        <v>-0.0059475178862306395</v>
      </c>
    </row>
    <row r="136">
      <c r="A136" s="220">
        <v>43593.975623425926</v>
      </c>
      <c r="B136" s="281">
        <v>4.2011</v>
      </c>
      <c r="C136" s="281">
        <v>48.902</v>
      </c>
      <c r="D136" s="281">
        <v>175.84</v>
      </c>
      <c r="E136" s="281">
        <v>109.18</v>
      </c>
      <c r="F136" s="269">
        <v>7.198</v>
      </c>
      <c r="G136" s="270">
        <v>0.0034199945443231052</v>
      </c>
      <c r="H136" s="221">
        <v>-0.006294240143356185</v>
      </c>
      <c r="I136" s="221">
        <v>0.0015165058535445326</v>
      </c>
      <c r="J136" s="221">
        <v>-4.386774866323624E-6</v>
      </c>
      <c r="K136" s="221">
        <v>-0.004341418615215605</v>
      </c>
    </row>
    <row r="137">
      <c r="A137" s="220">
        <v>43592.97561809028</v>
      </c>
      <c r="B137" s="281">
        <v>4.2021</v>
      </c>
      <c r="C137" s="281">
        <v>49.093</v>
      </c>
      <c r="D137" s="281">
        <v>176.11</v>
      </c>
      <c r="E137" s="281">
        <v>109.51</v>
      </c>
      <c r="F137" s="269">
        <v>7.2</v>
      </c>
      <c r="G137" s="270">
        <v>0.004068509056998441</v>
      </c>
      <c r="H137" s="221">
        <v>-0.0024236344226626163</v>
      </c>
      <c r="I137" s="221">
        <v>0.00252345971276724</v>
      </c>
      <c r="J137" s="221">
        <v>0.0034455735353248937</v>
      </c>
      <c r="K137" s="221">
        <v>-0.0025574490427977548</v>
      </c>
    </row>
    <row r="138">
      <c r="A138" s="220">
        <v>43591.975612152775</v>
      </c>
      <c r="B138" s="281">
        <v>4.1771</v>
      </c>
      <c r="C138" s="281">
        <v>49.489</v>
      </c>
      <c r="D138" s="281">
        <v>175.57</v>
      </c>
      <c r="E138" s="281">
        <v>109.07</v>
      </c>
      <c r="F138" s="269">
        <v>7.224</v>
      </c>
      <c r="G138" s="270">
        <v>0.003040966670371755</v>
      </c>
      <c r="H138" s="221">
        <v>-0.0012246706946456392</v>
      </c>
      <c r="I138" s="221">
        <v>9.673665918629911E-4</v>
      </c>
      <c r="J138" s="221">
        <v>-4.7722825886527726E-4</v>
      </c>
      <c r="K138" s="221">
        <v>-0.004938182636487857</v>
      </c>
    </row>
    <row r="139">
      <c r="A139" s="220">
        <v>43588.97567346065</v>
      </c>
      <c r="B139" s="281">
        <v>4.1581</v>
      </c>
      <c r="C139" s="281">
        <v>49.831</v>
      </c>
      <c r="D139" s="281">
        <v>175.04</v>
      </c>
      <c r="E139" s="281">
        <v>109.18</v>
      </c>
      <c r="F139" s="269">
        <v>7.292</v>
      </c>
      <c r="G139" s="270">
        <v>7.194351933705878E-4</v>
      </c>
      <c r="H139" s="221">
        <v>-0.0015183742048728484</v>
      </c>
      <c r="I139" s="221">
        <v>-8.00523356589126E-4</v>
      </c>
      <c r="J139" s="221">
        <v>-4.767665638303331E-4</v>
      </c>
      <c r="K139" s="221">
        <v>-0.002755342722509435</v>
      </c>
    </row>
    <row r="140">
      <c r="A140" s="220">
        <v>43587.97564416667</v>
      </c>
      <c r="B140" s="281">
        <v>4.151</v>
      </c>
      <c r="C140" s="281">
        <v>49.447</v>
      </c>
      <c r="D140" s="281">
        <v>174.78</v>
      </c>
      <c r="E140" s="281">
        <v>108.38</v>
      </c>
      <c r="F140" s="269">
        <v>7.255</v>
      </c>
      <c r="G140" s="270">
        <v>-0.0017778640124188987</v>
      </c>
      <c r="H140" s="221">
        <v>-0.0027418693895156685</v>
      </c>
      <c r="I140" s="221">
        <v>-0.0020555555717265417</v>
      </c>
      <c r="J140" s="221">
        <v>-0.005266848890729703</v>
      </c>
      <c r="K140" s="221">
        <v>-0.005580172393594503</v>
      </c>
    </row>
    <row r="141">
      <c r="A141" s="220">
        <v>43585.975535219906</v>
      </c>
      <c r="B141" s="281">
        <v>4.1391</v>
      </c>
      <c r="C141" s="281">
        <v>49.668</v>
      </c>
      <c r="D141" s="281">
        <v>175.06</v>
      </c>
      <c r="E141" s="281">
        <v>109.22</v>
      </c>
      <c r="F141" s="269">
        <v>7.331</v>
      </c>
      <c r="G141" s="270">
        <v>-0.0016151836563186677</v>
      </c>
      <c r="H141" s="221">
        <v>-0.0016666108670710205</v>
      </c>
      <c r="I141" s="221">
        <v>-0.0014267785614584156</v>
      </c>
      <c r="J141" s="221">
        <v>-0.0010181935081842546</v>
      </c>
      <c r="K141" s="221">
        <v>-0.005070569792629431</v>
      </c>
    </row>
    <row r="142">
      <c r="A142" s="220">
        <v>43584.97560777778</v>
      </c>
      <c r="B142" s="281">
        <v>4.1491</v>
      </c>
      <c r="C142" s="281">
        <v>50.055</v>
      </c>
      <c r="D142" s="281">
        <v>175.46</v>
      </c>
      <c r="E142" s="281">
        <v>109.33</v>
      </c>
      <c r="F142" s="269">
        <v>7.352</v>
      </c>
      <c r="G142" s="270">
        <v>4.7247310299806483E-4</v>
      </c>
      <c r="H142" s="221">
        <v>0.0019924399130701507</v>
      </c>
      <c r="I142" s="221">
        <v>7.947744373483593E-4</v>
      </c>
      <c r="J142" s="221">
        <v>0.0016300108329422673</v>
      </c>
      <c r="K142" s="221">
        <v>-0.0030408851065801823</v>
      </c>
    </row>
    <row r="143">
      <c r="A143" s="220">
        <v>43581.97563049768</v>
      </c>
      <c r="B143" s="281">
        <v>4.1731</v>
      </c>
      <c r="C143" s="281">
        <v>49.853</v>
      </c>
      <c r="D143" s="281">
        <v>175.86</v>
      </c>
      <c r="E143" s="281">
        <v>110.1</v>
      </c>
      <c r="F143" s="269">
        <v>7.377</v>
      </c>
      <c r="G143" s="270">
        <v>0.005377439084843154</v>
      </c>
      <c r="H143" s="221">
        <v>0.0017258498381983085</v>
      </c>
      <c r="I143" s="221">
        <v>0.003344748760956214</v>
      </c>
      <c r="J143" s="221">
        <v>0.006245008643002629</v>
      </c>
      <c r="K143" s="221">
        <v>-0.0022668441683525073</v>
      </c>
    </row>
    <row r="144">
      <c r="A144" s="220">
        <v>43580.975545625</v>
      </c>
      <c r="B144" s="281">
        <v>4.1591</v>
      </c>
      <c r="C144" s="281">
        <v>49.915</v>
      </c>
      <c r="D144" s="281">
        <v>175.81</v>
      </c>
      <c r="E144" s="281">
        <v>109.55</v>
      </c>
      <c r="F144" s="269">
        <v>7.443</v>
      </c>
      <c r="G144" s="270">
        <v>0.004039979609961423</v>
      </c>
      <c r="H144" s="221">
        <v>0.006556169673274326</v>
      </c>
      <c r="I144" s="221">
        <v>0.004188134550816162</v>
      </c>
      <c r="J144" s="221">
        <v>0.004086257109087943</v>
      </c>
      <c r="K144" s="221">
        <v>0.002151599183183491</v>
      </c>
    </row>
    <row r="145">
      <c r="A145" s="220">
        <v>43579.89794879629</v>
      </c>
      <c r="B145" s="281">
        <v>4.1431</v>
      </c>
      <c r="C145" s="281">
        <v>49.756</v>
      </c>
      <c r="D145" s="281">
        <v>175.04</v>
      </c>
      <c r="E145" s="281">
        <v>108.79</v>
      </c>
      <c r="F145" s="269">
        <v>7.419</v>
      </c>
      <c r="G145" s="270">
        <v>0.005572746955023966</v>
      </c>
      <c r="H145" s="221">
        <v>0.00706778403332257</v>
      </c>
      <c r="I145" s="221">
        <v>0.004936239310246855</v>
      </c>
      <c r="J145" s="221">
        <v>0.0034680031331012864</v>
      </c>
      <c r="K145" s="221">
        <v>0.00202334929812061</v>
      </c>
    </row>
    <row r="146">
      <c r="A146" s="220">
        <v>43578.97560277778</v>
      </c>
      <c r="B146" s="281">
        <v>4.1061</v>
      </c>
      <c r="C146" s="281">
        <v>49.595</v>
      </c>
      <c r="D146" s="281">
        <v>174.1</v>
      </c>
      <c r="E146" s="281">
        <v>108.05</v>
      </c>
      <c r="F146" s="269">
        <v>7.427</v>
      </c>
      <c r="G146" s="270">
        <v>0.003086815931970429</v>
      </c>
      <c r="H146" s="221">
        <v>0.004675207637052796</v>
      </c>
      <c r="I146" s="221">
        <v>0.0031268441245611753</v>
      </c>
      <c r="J146" s="221">
        <v>9.219828477348516E-4</v>
      </c>
      <c r="K146" s="221">
        <v>0.0017951364755979249</v>
      </c>
    </row>
    <row r="147">
      <c r="A147" s="220">
        <v>43573.97544317129</v>
      </c>
      <c r="B147" s="281">
        <v>4.1088</v>
      </c>
      <c r="C147" s="281">
        <v>48.938</v>
      </c>
      <c r="D147" s="281">
        <v>173.61</v>
      </c>
      <c r="E147" s="281">
        <v>108.21</v>
      </c>
      <c r="F147" s="269">
        <v>7.395</v>
      </c>
      <c r="G147" s="270">
        <v>0.0019949886895930615</v>
      </c>
      <c r="H147" s="221">
        <v>0.0015000924199473447</v>
      </c>
      <c r="I147" s="221">
        <v>0.0017828182907682437</v>
      </c>
      <c r="J147" s="221">
        <v>-0.001770806754054351</v>
      </c>
      <c r="K147" s="221">
        <v>-7.240483919746336E-4</v>
      </c>
    </row>
    <row r="148">
      <c r="A148" s="220">
        <v>43572.97561418981</v>
      </c>
      <c r="B148" s="281">
        <v>4.0741</v>
      </c>
      <c r="C148" s="281">
        <v>48.707</v>
      </c>
      <c r="D148" s="281">
        <v>172.46</v>
      </c>
      <c r="E148" s="281">
        <v>107.66</v>
      </c>
      <c r="F148" s="269">
        <v>7.374</v>
      </c>
      <c r="G148" s="270">
        <v>-4.936380484396782E-4</v>
      </c>
      <c r="H148" s="221">
        <v>2.8246939363348506E-4</v>
      </c>
      <c r="I148" s="221">
        <v>-2.514640823568411E-4</v>
      </c>
      <c r="J148" s="221">
        <v>-0.004200472576329754</v>
      </c>
      <c r="K148" s="221">
        <v>-0.002660154005498535</v>
      </c>
    </row>
    <row r="149">
      <c r="A149" s="220">
        <v>43571.97564483796</v>
      </c>
      <c r="B149" s="281">
        <v>4.0681</v>
      </c>
      <c r="C149" s="281">
        <v>48.899</v>
      </c>
      <c r="D149" s="281">
        <v>172.47</v>
      </c>
      <c r="E149" s="281">
        <v>107.75</v>
      </c>
      <c r="F149" s="269">
        <v>7.387</v>
      </c>
      <c r="G149" s="270">
        <v>-0.005232805904407593</v>
      </c>
      <c r="H149" s="221">
        <v>0.0015690507051970837</v>
      </c>
      <c r="I149" s="221">
        <v>-0.0029746663961643938</v>
      </c>
      <c r="J149" s="221">
        <v>-0.005970371333431442</v>
      </c>
      <c r="K149" s="221">
        <v>-0.0033730104518142254</v>
      </c>
    </row>
    <row r="150">
      <c r="A150" s="220">
        <v>43570.975653437505</v>
      </c>
      <c r="B150" s="281">
        <v>4.0841</v>
      </c>
      <c r="C150" s="281">
        <v>48.717</v>
      </c>
      <c r="D150" s="281">
        <v>172.68</v>
      </c>
      <c r="E150" s="281">
        <v>108.78</v>
      </c>
      <c r="F150" s="269">
        <v>7.411</v>
      </c>
      <c r="G150" s="270">
        <v>-0.005131831052264372</v>
      </c>
      <c r="H150" s="221">
        <v>9.3110903271539E-4</v>
      </c>
      <c r="I150" s="221">
        <v>-0.003143478325144463</v>
      </c>
      <c r="J150" s="221">
        <v>-0.006400234950344623</v>
      </c>
      <c r="K150" s="221">
        <v>-0.004032187110687128</v>
      </c>
    </row>
    <row r="151">
      <c r="A151" s="220">
        <v>43567.97559715278</v>
      </c>
      <c r="B151" s="281">
        <v>4.0801</v>
      </c>
      <c r="C151" s="281">
        <v>48.665</v>
      </c>
      <c r="D151" s="281">
        <v>172.59</v>
      </c>
      <c r="E151" s="281">
        <v>109.02</v>
      </c>
      <c r="F151" s="269">
        <v>7.433</v>
      </c>
      <c r="G151" s="270">
        <v>-0.004654525843059402</v>
      </c>
      <c r="H151" s="221">
        <v>0.0012408677513651156</v>
      </c>
      <c r="I151" s="221">
        <v>-0.0025522893482210485</v>
      </c>
      <c r="J151" s="221">
        <v>-0.0044021793808604786</v>
      </c>
      <c r="K151" s="221">
        <v>-0.0012651262555858356</v>
      </c>
    </row>
    <row r="152">
      <c r="A152" s="220">
        <v>43566.97564020833</v>
      </c>
      <c r="B152" s="281">
        <v>4.1321</v>
      </c>
      <c r="C152" s="281">
        <v>48.669</v>
      </c>
      <c r="D152" s="281">
        <v>174.01</v>
      </c>
      <c r="E152" s="281">
        <v>109.69</v>
      </c>
      <c r="F152" s="269">
        <v>7.462</v>
      </c>
      <c r="G152" s="270">
        <v>2.3830994231525496E-4</v>
      </c>
      <c r="H152" s="221">
        <v>-9.988299267301344E-5</v>
      </c>
      <c r="I152" s="221">
        <v>3.6274413777759307E-4</v>
      </c>
      <c r="J152" s="221">
        <v>-9.353142944369767E-4</v>
      </c>
      <c r="K152" s="221">
        <v>-9.028315423242894E-4</v>
      </c>
    </row>
    <row r="153">
      <c r="A153" s="220">
        <v>43565.97559818287</v>
      </c>
      <c r="B153" s="281">
        <v>4.1471</v>
      </c>
      <c r="C153" s="281">
        <v>48.581</v>
      </c>
      <c r="D153" s="281">
        <v>174.31</v>
      </c>
      <c r="E153" s="281">
        <v>110.88</v>
      </c>
      <c r="F153" s="269">
        <v>7.501</v>
      </c>
      <c r="G153" s="270">
        <v>-4.0839194964777575E-4</v>
      </c>
      <c r="H153" s="221">
        <v>-0.0019624449674541244</v>
      </c>
      <c r="I153" s="221">
        <v>-6.159072782105183E-4</v>
      </c>
      <c r="J153" s="221">
        <v>0.002832466493741248</v>
      </c>
      <c r="K153" s="221">
        <v>0.0017303560909611344</v>
      </c>
    </row>
    <row r="154">
      <c r="A154" s="220">
        <v>43564.97563767361</v>
      </c>
      <c r="B154" s="281">
        <v>4.1371</v>
      </c>
      <c r="C154" s="281">
        <v>48.484</v>
      </c>
      <c r="D154" s="281">
        <v>173.91</v>
      </c>
      <c r="E154" s="281">
        <v>110.46</v>
      </c>
      <c r="F154" s="269">
        <v>7.461</v>
      </c>
      <c r="G154" s="270">
        <v>-4.896405240942073E-4</v>
      </c>
      <c r="H154" s="221">
        <v>-6.157355063578507E-4</v>
      </c>
      <c r="I154" s="221">
        <v>-0.0010563324130778984</v>
      </c>
      <c r="J154" s="221">
        <v>0.0026007055515929003</v>
      </c>
      <c r="K154" s="221">
        <v>3.9952308240061757E-4</v>
      </c>
    </row>
    <row r="155">
      <c r="A155" s="220">
        <v>43563.97568585648</v>
      </c>
      <c r="B155" s="281">
        <v>4.1291</v>
      </c>
      <c r="C155" s="281">
        <v>48.683</v>
      </c>
      <c r="D155" s="281">
        <v>173.82</v>
      </c>
      <c r="E155" s="281">
        <v>109.99</v>
      </c>
      <c r="F155" s="269">
        <v>7.482</v>
      </c>
      <c r="G155" s="270">
        <v>-2.492088288366112E-4</v>
      </c>
      <c r="H155" s="221">
        <v>-2.479643440578272E-6</v>
      </c>
      <c r="I155" s="221">
        <v>-6.938512903392388E-4</v>
      </c>
      <c r="J155" s="221">
        <v>0.0012128078726541351</v>
      </c>
      <c r="K155" s="221">
        <v>0.0022323495395052038</v>
      </c>
    </row>
    <row r="156">
      <c r="A156" s="220">
        <v>43560.97554396991</v>
      </c>
      <c r="B156" s="281">
        <v>4.1521</v>
      </c>
      <c r="C156" s="281">
        <v>48.867</v>
      </c>
      <c r="D156" s="281">
        <v>174.63</v>
      </c>
      <c r="E156" s="281">
        <v>109.94</v>
      </c>
      <c r="F156" s="269">
        <v>7.462</v>
      </c>
      <c r="G156" s="270">
        <v>-0.002256524667970846</v>
      </c>
      <c r="H156" s="221">
        <v>0.0021954321134480814</v>
      </c>
      <c r="I156" s="221">
        <v>-0.0014178578783235658</v>
      </c>
      <c r="J156" s="221">
        <v>-5.812066824687859E-4</v>
      </c>
      <c r="K156" s="221">
        <v>0.0011619178074986358</v>
      </c>
    </row>
    <row r="157">
      <c r="A157" s="220">
        <v>43559.97564106481</v>
      </c>
      <c r="B157" s="281">
        <v>4.1431</v>
      </c>
      <c r="C157" s="281">
        <v>48.572</v>
      </c>
      <c r="D157" s="281">
        <v>174.46</v>
      </c>
      <c r="E157" s="281">
        <v>109.6</v>
      </c>
      <c r="F157" s="269">
        <v>7.452</v>
      </c>
      <c r="G157" s="270">
        <v>-0.002907280283766448</v>
      </c>
      <c r="H157" s="221">
        <v>0.0017624582238358055</v>
      </c>
      <c r="I157" s="221">
        <v>-6.969447237218374E-4</v>
      </c>
      <c r="J157" s="221">
        <v>-0.0012185976241821939</v>
      </c>
      <c r="K157" s="221">
        <v>0.0010738257869487382</v>
      </c>
    </row>
    <row r="158">
      <c r="A158" s="220">
        <v>43558.97564258102</v>
      </c>
      <c r="B158" s="281">
        <v>4.1321</v>
      </c>
      <c r="C158" s="281">
        <v>48.682</v>
      </c>
      <c r="D158" s="281">
        <v>174.18</v>
      </c>
      <c r="E158" s="281">
        <v>109.59</v>
      </c>
      <c r="F158" s="269">
        <v>7.432</v>
      </c>
      <c r="G158" s="270">
        <v>-0.007054551275438858</v>
      </c>
      <c r="H158" s="221">
        <v>0.006249801543271112</v>
      </c>
      <c r="I158" s="221">
        <v>-0.002604769501346138</v>
      </c>
      <c r="J158" s="221">
        <v>-0.0018247688252438499</v>
      </c>
      <c r="K158" s="221">
        <v>0.0022434727192017037</v>
      </c>
    </row>
    <row r="159">
      <c r="A159" s="220">
        <v>43526.0</v>
      </c>
      <c r="B159" s="281">
        <v>4.18</v>
      </c>
      <c r="C159" s="281">
        <v>48.545</v>
      </c>
      <c r="D159" s="281">
        <v>175.37</v>
      </c>
      <c r="E159" s="281">
        <v>110.13</v>
      </c>
      <c r="F159" s="269">
        <v>7.436</v>
      </c>
      <c r="G159" s="270">
        <v>-0.0032</v>
      </c>
      <c r="H159" s="221">
        <v>0.0053</v>
      </c>
      <c r="I159" s="221">
        <v>-3.0E-4</v>
      </c>
      <c r="J159" s="221">
        <v>-2.0E-4</v>
      </c>
      <c r="K159" s="221">
        <v>0.0024</v>
      </c>
    </row>
    <row r="160">
      <c r="A160" s="220">
        <v>43556.9756159838</v>
      </c>
      <c r="B160" s="281">
        <v>4.1791</v>
      </c>
      <c r="C160" s="281">
        <v>48.315</v>
      </c>
      <c r="D160" s="281">
        <v>174.82</v>
      </c>
      <c r="E160" s="281">
        <v>110.0</v>
      </c>
      <c r="F160" s="269">
        <v>7.428</v>
      </c>
      <c r="G160" s="270">
        <v>-0.0024726044688401227</v>
      </c>
      <c r="H160" s="221">
        <v>0.006566422757664429</v>
      </c>
      <c r="I160" s="221">
        <v>-0.0014120656188270815</v>
      </c>
      <c r="J160" s="221">
        <v>-0.0035337252649069173</v>
      </c>
      <c r="K160" s="221">
        <v>0.0026058441078449603</v>
      </c>
    </row>
    <row r="161">
      <c r="A161" s="220">
        <v>43553.97584701389</v>
      </c>
      <c r="B161" s="281">
        <v>4.22</v>
      </c>
      <c r="C161" s="281">
        <v>47.774</v>
      </c>
      <c r="D161" s="281">
        <v>175.54</v>
      </c>
      <c r="E161" s="281">
        <v>110.19</v>
      </c>
      <c r="F161" s="269">
        <v>7.382</v>
      </c>
      <c r="G161" s="270">
        <v>0.00490684224553702</v>
      </c>
      <c r="H161" s="221">
        <v>0.0020176689655905613</v>
      </c>
      <c r="I161" s="221">
        <v>0.0022581852094027965</v>
      </c>
      <c r="J161" s="221">
        <v>-0.002897994077538472</v>
      </c>
      <c r="K161" s="221">
        <v>-7.700409452758109E-4</v>
      </c>
    </row>
    <row r="162">
      <c r="A162" s="220">
        <v>43552.97569547454</v>
      </c>
      <c r="B162" s="281">
        <v>4.2211</v>
      </c>
      <c r="C162" s="281">
        <v>47.389</v>
      </c>
      <c r="D162" s="281">
        <v>175.89</v>
      </c>
      <c r="E162" s="281">
        <v>109.63</v>
      </c>
      <c r="F162" s="269">
        <v>7.367</v>
      </c>
      <c r="G162" s="270">
        <v>0.005843497597674181</v>
      </c>
      <c r="H162" s="221">
        <v>0.0020972539854902474</v>
      </c>
      <c r="I162" s="221">
        <v>0.003362529576878622</v>
      </c>
      <c r="J162" s="221">
        <v>-0.005761733578233137</v>
      </c>
      <c r="K162" s="221">
        <v>-2.3098357194384356E-4</v>
      </c>
    </row>
    <row r="163">
      <c r="A163" s="220">
        <v>43551.975784270835</v>
      </c>
      <c r="B163" s="281">
        <v>4.21</v>
      </c>
      <c r="C163" s="281">
        <v>47.368</v>
      </c>
      <c r="D163" s="281">
        <v>175.56</v>
      </c>
      <c r="E163" s="281">
        <v>111.16</v>
      </c>
      <c r="F163" s="269">
        <v>7.37</v>
      </c>
      <c r="G163" s="270">
        <v>0.004677610932322736</v>
      </c>
      <c r="H163" s="221">
        <v>-3.1562561312825643E-4</v>
      </c>
      <c r="I163" s="221">
        <v>0.002794570363914358</v>
      </c>
      <c r="J163" s="221">
        <v>5.938552453162993E-4</v>
      </c>
      <c r="K163" s="221">
        <v>4.473504896840286E-4</v>
      </c>
    </row>
    <row r="164">
      <c r="A164" s="220">
        <v>43550.97580263889</v>
      </c>
      <c r="B164" s="281">
        <v>4.158</v>
      </c>
      <c r="C164" s="281">
        <v>47.484</v>
      </c>
      <c r="D164" s="281">
        <v>174.35</v>
      </c>
      <c r="E164" s="281">
        <v>111.14</v>
      </c>
      <c r="F164" s="269">
        <v>7.399</v>
      </c>
      <c r="G164" s="270">
        <v>0.00706488637539963</v>
      </c>
      <c r="H164" s="221">
        <v>-0.0014328100731747506</v>
      </c>
      <c r="I164" s="221">
        <v>0.00417341957782158</v>
      </c>
      <c r="J164" s="221">
        <v>0.004288988579151202</v>
      </c>
      <c r="K164" s="221">
        <v>0.0013060756386427859</v>
      </c>
    </row>
    <row r="165">
      <c r="A165" s="220">
        <v>43549.9760040625</v>
      </c>
      <c r="B165" s="281">
        <v>4.1474</v>
      </c>
      <c r="C165" s="281">
        <v>47.09</v>
      </c>
      <c r="D165" s="281">
        <v>174.12</v>
      </c>
      <c r="E165" s="281">
        <v>111.53</v>
      </c>
      <c r="F165" s="269">
        <v>7.372</v>
      </c>
      <c r="G165" s="270">
        <v>0.009163521807368458</v>
      </c>
      <c r="H165" s="221">
        <v>-8.712624438841724E-4</v>
      </c>
      <c r="I165" s="221">
        <v>0.005553597743764145</v>
      </c>
      <c r="J165" s="221">
        <v>0.006400561528073408</v>
      </c>
      <c r="K165" s="221">
        <v>8.969504667092713E-5</v>
      </c>
    </row>
    <row r="166">
      <c r="A166" s="220">
        <v>43546.97561252315</v>
      </c>
      <c r="B166" s="281">
        <v>4.151</v>
      </c>
      <c r="C166" s="281">
        <v>47.41</v>
      </c>
      <c r="D166" s="281">
        <v>174.09</v>
      </c>
      <c r="E166" s="281">
        <v>110.96</v>
      </c>
      <c r="F166" s="269">
        <v>7.36</v>
      </c>
      <c r="G166" s="270">
        <v>0.010774955227212205</v>
      </c>
      <c r="H166" s="221">
        <v>-0.0026660567679895517</v>
      </c>
      <c r="I166" s="221">
        <v>0.006216444854785082</v>
      </c>
      <c r="J166" s="221">
        <v>0.0032649303894587423</v>
      </c>
      <c r="K166" s="221">
        <v>-6.145163509903758E-7</v>
      </c>
    </row>
    <row r="167">
      <c r="A167" s="220">
        <v>43545.975588726855</v>
      </c>
      <c r="B167" s="281">
        <v>4.07</v>
      </c>
      <c r="C167" s="281">
        <v>47.685</v>
      </c>
      <c r="D167" s="281">
        <v>172.17</v>
      </c>
      <c r="E167" s="281">
        <v>109.71</v>
      </c>
      <c r="F167" s="269">
        <v>7.37</v>
      </c>
      <c r="G167" s="270">
        <v>0.0028601782441531887</v>
      </c>
      <c r="H167" s="221">
        <v>0.0015973603698940704</v>
      </c>
      <c r="I167" s="221">
        <v>0.0014671822102119148</v>
      </c>
      <c r="J167" s="221">
        <v>-5.50854326685779E-4</v>
      </c>
      <c r="K167" s="221">
        <v>9.051825850982335E-4</v>
      </c>
    </row>
    <row r="168">
      <c r="A168" s="220">
        <v>43544.975511666664</v>
      </c>
      <c r="B168" s="281">
        <v>4.034</v>
      </c>
      <c r="C168" s="281">
        <v>47.209</v>
      </c>
      <c r="D168" s="281">
        <v>171.23</v>
      </c>
      <c r="E168" s="281">
        <v>109.4</v>
      </c>
      <c r="F168" s="269">
        <v>7.37</v>
      </c>
      <c r="G168" s="270">
        <v>5.726592280096051E-4</v>
      </c>
      <c r="H168" s="221">
        <v>-0.002432525045970394</v>
      </c>
      <c r="I168" s="221">
        <v>-4.69403778093828E-4</v>
      </c>
      <c r="J168" s="221">
        <v>-0.0011590643962028728</v>
      </c>
      <c r="K168" s="221">
        <v>0.0018122120635563066</v>
      </c>
    </row>
    <row r="169">
      <c r="A169" s="220">
        <v>43543.97553142361</v>
      </c>
      <c r="B169" s="281">
        <v>4.018</v>
      </c>
      <c r="C169" s="281">
        <v>47.784</v>
      </c>
      <c r="D169" s="281">
        <v>170.86</v>
      </c>
      <c r="E169" s="281">
        <v>109.87</v>
      </c>
      <c r="F169" s="269">
        <v>7.36</v>
      </c>
      <c r="G169" s="270">
        <v>1.6108435887203973E-4</v>
      </c>
      <c r="H169" s="221">
        <v>0.002973386902193805</v>
      </c>
      <c r="I169" s="221">
        <v>-8.00887615329667E-4</v>
      </c>
      <c r="J169" s="221">
        <v>0.0014268120267443656</v>
      </c>
      <c r="K169" s="221">
        <v>0.001359928029182722</v>
      </c>
    </row>
    <row r="170">
      <c r="A170" s="220">
        <v>43542.97552386574</v>
      </c>
      <c r="B170" s="281">
        <v>4.035</v>
      </c>
      <c r="C170" s="281">
        <v>47.45</v>
      </c>
      <c r="D170" s="281">
        <v>171.41</v>
      </c>
      <c r="E170" s="281">
        <v>109.89</v>
      </c>
      <c r="F170" s="269">
        <v>7.35</v>
      </c>
      <c r="G170" s="270">
        <v>-7.526326000716713E-4</v>
      </c>
      <c r="H170" s="221">
        <v>5.941876780034919E-4</v>
      </c>
      <c r="I170" s="221">
        <v>-3.89607581886701E-4</v>
      </c>
      <c r="J170" s="221">
        <v>-0.0017117789411309852</v>
      </c>
      <c r="K170" s="221">
        <v>9.070294784580361E-4</v>
      </c>
    </row>
    <row r="171">
      <c r="A171" s="220">
        <v>43539.97556614583</v>
      </c>
      <c r="B171" s="281">
        <v>4.027</v>
      </c>
      <c r="C171" s="281">
        <v>47.55</v>
      </c>
      <c r="D171" s="281">
        <v>171.47</v>
      </c>
      <c r="E171" s="281">
        <v>109.78</v>
      </c>
      <c r="F171" s="269">
        <v>7.33</v>
      </c>
      <c r="G171" s="270">
        <v>-0.001001383330880364</v>
      </c>
      <c r="H171" s="221">
        <v>0.003203856308619968</v>
      </c>
      <c r="I171" s="221">
        <v>-2.1465661247122014E-4</v>
      </c>
      <c r="J171" s="221">
        <v>1.2748298565168348E-4</v>
      </c>
      <c r="K171" s="221">
        <v>0.0018190086402910903</v>
      </c>
    </row>
    <row r="172">
      <c r="A172" s="220">
        <v>43538.96140621528</v>
      </c>
      <c r="B172" s="281">
        <v>4.016</v>
      </c>
      <c r="C172" s="281">
        <v>47.358</v>
      </c>
      <c r="D172" s="281">
        <v>171.27</v>
      </c>
      <c r="E172" s="281">
        <v>109.4</v>
      </c>
      <c r="F172" s="269">
        <v>7.33</v>
      </c>
      <c r="G172" s="270">
        <v>-0.0026546620915869714</v>
      </c>
      <c r="H172" s="221">
        <v>0.0024453822059716432</v>
      </c>
      <c r="I172" s="221">
        <v>-0.0018467976979258023</v>
      </c>
      <c r="J172" s="221">
        <v>-0.0013604933398151757</v>
      </c>
      <c r="K172" s="221">
        <v>0.002733503381946297</v>
      </c>
    </row>
    <row r="173">
      <c r="A173" s="220">
        <v>43537.97555106481</v>
      </c>
      <c r="B173" s="281">
        <v>4.044</v>
      </c>
      <c r="C173" s="281">
        <v>47.365</v>
      </c>
      <c r="D173" s="281">
        <v>171.61</v>
      </c>
      <c r="E173" s="281">
        <v>110.45</v>
      </c>
      <c r="F173" s="269">
        <v>7.33</v>
      </c>
      <c r="G173" s="270">
        <v>-8.358933386946414E-5</v>
      </c>
      <c r="H173" s="221">
        <v>0.007812556624918124</v>
      </c>
      <c r="I173" s="221">
        <v>-0.0010495888736807106</v>
      </c>
      <c r="J173" s="221">
        <v>2.607224732914896E-4</v>
      </c>
      <c r="K173" s="221">
        <v>0.0027335033819462598</v>
      </c>
    </row>
    <row r="174">
      <c r="A174" s="220">
        <v>43536.97556723379</v>
      </c>
      <c r="B174" s="281">
        <v>4.039</v>
      </c>
      <c r="C174" s="281">
        <v>47.094</v>
      </c>
      <c r="D174" s="281">
        <v>171.58</v>
      </c>
      <c r="E174" s="281">
        <v>109.73</v>
      </c>
      <c r="F174" s="269">
        <v>7.29</v>
      </c>
      <c r="G174" s="270">
        <v>-5.781287981961499E-4</v>
      </c>
      <c r="H174" s="221">
        <v>0.002698937254122624</v>
      </c>
      <c r="I174" s="221">
        <v>-0.001107860536171253</v>
      </c>
      <c r="J174" s="221">
        <v>0.0011384157522884575</v>
      </c>
      <c r="K174" s="221">
        <v>-9.195263495873259E-4</v>
      </c>
    </row>
    <row r="175">
      <c r="A175" s="220">
        <v>43535.97564613426</v>
      </c>
      <c r="B175" s="281">
        <v>4.048</v>
      </c>
      <c r="C175" s="281">
        <v>47.011</v>
      </c>
      <c r="D175" s="281">
        <v>172.22</v>
      </c>
      <c r="E175" s="281">
        <v>109.84</v>
      </c>
      <c r="F175" s="269">
        <v>7.27</v>
      </c>
      <c r="G175" s="270">
        <v>0.004860625355723587</v>
      </c>
      <c r="H175" s="221">
        <v>0.0019615860490075354</v>
      </c>
      <c r="I175" s="221">
        <v>0.003833810723245216</v>
      </c>
      <c r="J175" s="221">
        <v>0.0040331545572805565</v>
      </c>
      <c r="K175" s="221">
        <v>-4.6603203515505065E-4</v>
      </c>
    </row>
    <row r="176">
      <c r="A176" s="220">
        <v>43532.998715277776</v>
      </c>
      <c r="B176" s="281">
        <v>4.045</v>
      </c>
      <c r="C176" s="281">
        <v>46.261</v>
      </c>
      <c r="D176" s="281">
        <v>172.15</v>
      </c>
      <c r="E176" s="281">
        <v>110.36</v>
      </c>
      <c r="F176" s="269">
        <v>7.27</v>
      </c>
      <c r="G176" s="270">
        <v>0.00636841555347097</v>
      </c>
      <c r="H176" s="221">
        <v>-0.005439339508087467</v>
      </c>
      <c r="I176" s="221">
        <v>0.00452069352512859</v>
      </c>
      <c r="J176" s="221">
        <v>0.0056726457526463285</v>
      </c>
      <c r="K176" s="221">
        <v>-0.0018396584087814194</v>
      </c>
    </row>
    <row r="177">
      <c r="A177" s="220">
        <v>43531.97566297454</v>
      </c>
      <c r="B177" s="281">
        <v>4.046</v>
      </c>
      <c r="C177" s="281">
        <v>46.706</v>
      </c>
      <c r="D177" s="281">
        <v>172.15</v>
      </c>
      <c r="E177" s="281">
        <v>109.35</v>
      </c>
      <c r="F177" s="269">
        <v>7.31</v>
      </c>
      <c r="G177" s="270">
        <v>0.006534827192690977</v>
      </c>
      <c r="H177" s="221">
        <v>-0.0015310509792991756</v>
      </c>
      <c r="I177" s="221">
        <v>0.004874008800125673</v>
      </c>
      <c r="J177" s="221">
        <v>0.002468399556610638</v>
      </c>
      <c r="K177" s="221">
        <v>0.001362351738548669</v>
      </c>
    </row>
    <row r="178">
      <c r="A178" s="220">
        <v>43530.97587299769</v>
      </c>
      <c r="B178" s="281">
        <v>3.989</v>
      </c>
      <c r="C178" s="281">
        <v>46.727</v>
      </c>
      <c r="D178" s="281">
        <v>170.24</v>
      </c>
      <c r="E178" s="281">
        <v>108.51</v>
      </c>
      <c r="F178" s="269">
        <v>7.28</v>
      </c>
      <c r="G178" s="270">
        <v>0.004863787033273985</v>
      </c>
      <c r="H178" s="221">
        <v>3.4516540959828035E-4</v>
      </c>
      <c r="I178" s="221">
        <v>0.0031995774318038053</v>
      </c>
      <c r="J178" s="221">
        <v>-0.0026104585533879656</v>
      </c>
      <c r="K178" s="221">
        <v>0.0018258645139629752</v>
      </c>
    </row>
    <row r="179">
      <c r="A179" s="220">
        <v>43529.97564774306</v>
      </c>
      <c r="B179" s="281">
        <v>3.968</v>
      </c>
      <c r="C179" s="281">
        <v>47.019</v>
      </c>
      <c r="D179" s="281">
        <v>169.82</v>
      </c>
      <c r="E179" s="281">
        <v>108.49</v>
      </c>
      <c r="F179" s="269">
        <v>7.31</v>
      </c>
      <c r="G179" s="270">
        <v>0.002091408476853296</v>
      </c>
      <c r="H179" s="221">
        <v>0.002742402784282986</v>
      </c>
      <c r="I179" s="221">
        <v>0.002139975157480397</v>
      </c>
      <c r="J179" s="221">
        <v>-0.005506571292927864</v>
      </c>
      <c r="K179" s="221">
        <v>8.97465104900593E-4</v>
      </c>
    </row>
    <row r="180">
      <c r="A180" s="220">
        <v>43528.975770000005</v>
      </c>
      <c r="B180" s="281">
        <v>3.967</v>
      </c>
      <c r="C180" s="281">
        <v>46.92</v>
      </c>
      <c r="D180" s="281">
        <v>169.64</v>
      </c>
      <c r="E180" s="281">
        <v>108.54</v>
      </c>
      <c r="F180" s="269">
        <v>7.28</v>
      </c>
      <c r="G180" s="270">
        <v>-6.978128940803666E-4</v>
      </c>
      <c r="H180" s="221">
        <v>0.0023264794058258285</v>
      </c>
      <c r="I180" s="221">
        <v>2.654919415915706E-4</v>
      </c>
      <c r="J180" s="221">
        <v>-0.00713612498608344</v>
      </c>
      <c r="K180" s="221">
        <v>-0.0022995134344974133</v>
      </c>
    </row>
    <row r="181">
      <c r="A181" s="220">
        <v>43525.97552253472</v>
      </c>
      <c r="B181" s="281">
        <v>3.931</v>
      </c>
      <c r="C181" s="281">
        <v>46.677</v>
      </c>
      <c r="D181" s="281">
        <v>168.61</v>
      </c>
      <c r="E181" s="281">
        <v>109.36</v>
      </c>
      <c r="F181" s="269">
        <v>7.24</v>
      </c>
      <c r="G181" s="270">
        <v>-0.006238492050580617</v>
      </c>
      <c r="H181" s="221">
        <v>-0.0012456341291151214</v>
      </c>
      <c r="I181" s="221">
        <v>-0.0025843604962273816</v>
      </c>
      <c r="J181" s="221">
        <v>-0.006331416366283686</v>
      </c>
      <c r="K181" s="221">
        <v>-0.0018572544656354495</v>
      </c>
    </row>
    <row r="182">
      <c r="A182" s="220">
        <v>43524.97552314815</v>
      </c>
      <c r="B182" s="281">
        <v>3.943</v>
      </c>
      <c r="C182" s="281">
        <v>46.633</v>
      </c>
      <c r="D182" s="281">
        <v>168.73</v>
      </c>
      <c r="E182" s="281">
        <v>110.29</v>
      </c>
      <c r="F182" s="269">
        <v>7.29</v>
      </c>
      <c r="G182" s="270">
        <v>-0.0042221877044805</v>
      </c>
      <c r="H182" s="221">
        <v>-0.003210473163671179</v>
      </c>
      <c r="I182" s="221">
        <v>-0.0018763168501129506</v>
      </c>
      <c r="J182" s="221">
        <v>-0.004065008682943905</v>
      </c>
      <c r="K182" s="221">
        <v>-4.70979598697611E-4</v>
      </c>
    </row>
    <row r="183">
      <c r="A183" s="220">
        <v>43523.975563217595</v>
      </c>
      <c r="B183" s="281">
        <v>3.975</v>
      </c>
      <c r="C183" s="281">
        <v>46.593</v>
      </c>
      <c r="D183" s="281">
        <v>169.5</v>
      </c>
      <c r="E183" s="281">
        <v>110.88</v>
      </c>
      <c r="F183" s="269">
        <v>7.33</v>
      </c>
      <c r="G183" s="270">
        <v>-0.003603957267950856</v>
      </c>
      <c r="H183" s="221">
        <v>-0.001641513332110674</v>
      </c>
      <c r="I183" s="221">
        <v>-0.0012588107039720835</v>
      </c>
      <c r="J183" s="221">
        <v>-0.0033865724306554323</v>
      </c>
      <c r="K183" s="221">
        <v>-0.0018383371473506365</v>
      </c>
    </row>
    <row r="184">
      <c r="A184" s="220">
        <v>43522.975535011574</v>
      </c>
      <c r="B184" s="281">
        <v>4.005</v>
      </c>
      <c r="C184" s="281">
        <v>46.851</v>
      </c>
      <c r="D184" s="281">
        <v>169.92</v>
      </c>
      <c r="E184" s="281">
        <v>111.45</v>
      </c>
      <c r="F184" s="269">
        <v>7.28</v>
      </c>
      <c r="G184" s="270">
        <v>8.198463077822016E-4</v>
      </c>
      <c r="H184" s="221">
        <v>0.002105113945133722</v>
      </c>
      <c r="I184" s="221">
        <v>2.724495144910133E-4</v>
      </c>
      <c r="J184" s="221">
        <v>-0.0020896376846982387</v>
      </c>
      <c r="K184" s="221">
        <v>-0.0032075298789671822</v>
      </c>
    </row>
    <row r="185">
      <c r="A185" s="220">
        <v>43521.9755272801</v>
      </c>
      <c r="B185" s="281">
        <v>3.993</v>
      </c>
      <c r="C185" s="281">
        <v>47.083</v>
      </c>
      <c r="D185" s="281">
        <v>169.68</v>
      </c>
      <c r="E185" s="281">
        <v>111.64</v>
      </c>
      <c r="F185" s="269">
        <v>7.3</v>
      </c>
      <c r="G185" s="270">
        <v>-0.0015973449690791508</v>
      </c>
      <c r="H185" s="221">
        <v>0.0036268542538722137</v>
      </c>
      <c r="I185" s="221">
        <v>-3.9469278708940497E-4</v>
      </c>
      <c r="J185" s="221">
        <v>-0.00404774926070887</v>
      </c>
      <c r="K185" s="221">
        <v>-9.312347455291784E-4</v>
      </c>
    </row>
    <row r="186">
      <c r="A186" s="220">
        <v>43518.97556290509</v>
      </c>
      <c r="B186" s="281">
        <v>4.018</v>
      </c>
      <c r="C186" s="281">
        <v>46.821</v>
      </c>
      <c r="D186" s="281">
        <v>170.14</v>
      </c>
      <c r="E186" s="281">
        <v>112.01</v>
      </c>
      <c r="F186" s="269">
        <v>7.37</v>
      </c>
      <c r="G186" s="270">
        <v>-0.0018367136815409986</v>
      </c>
      <c r="H186" s="221">
        <v>0.0017648164889463673</v>
      </c>
      <c r="I186" s="221">
        <v>-6.683326170147849E-4</v>
      </c>
      <c r="J186" s="221">
        <v>-0.002146547652928321</v>
      </c>
      <c r="K186" s="221">
        <v>0.0036312325050135152</v>
      </c>
    </row>
    <row r="187">
      <c r="A187" s="220">
        <v>43517.97554945602</v>
      </c>
      <c r="B187" s="281">
        <v>3.995</v>
      </c>
      <c r="C187" s="281">
        <v>46.554</v>
      </c>
      <c r="D187" s="281">
        <v>169.78</v>
      </c>
      <c r="E187" s="281">
        <v>112.15</v>
      </c>
      <c r="F187" s="269">
        <v>7.35</v>
      </c>
      <c r="G187" s="270">
        <v>-0.0037447939868338054</v>
      </c>
      <c r="H187" s="221">
        <v>-7.730327856600994E-4</v>
      </c>
      <c r="I187" s="221">
        <v>-0.0011390025050696344</v>
      </c>
      <c r="J187" s="221">
        <v>5.173392735036142E-4</v>
      </c>
      <c r="K187" s="221">
        <v>0.0018121696946110655</v>
      </c>
    </row>
    <row r="188">
      <c r="A188" s="220">
        <v>43516.97557607639</v>
      </c>
      <c r="B188" s="281">
        <v>4.012</v>
      </c>
      <c r="C188" s="281">
        <v>46.572</v>
      </c>
      <c r="D188" s="281">
        <v>169.88</v>
      </c>
      <c r="E188" s="281">
        <v>113.0</v>
      </c>
      <c r="F188" s="269">
        <v>7.32</v>
      </c>
      <c r="G188" s="270">
        <v>-0.00348146978207294</v>
      </c>
      <c r="H188" s="221">
        <v>-7.513037701978309E-4</v>
      </c>
      <c r="I188" s="221">
        <v>-0.0023318849920281512</v>
      </c>
      <c r="J188" s="221">
        <v>0.0043833621834627285</v>
      </c>
      <c r="K188" s="221">
        <v>0.0018196145330115672</v>
      </c>
    </row>
    <row r="189">
      <c r="A189" s="220">
        <v>43515.975523009256</v>
      </c>
      <c r="B189" s="281">
        <v>4.04</v>
      </c>
      <c r="C189" s="281">
        <v>46.573</v>
      </c>
      <c r="D189" s="281">
        <v>170.48</v>
      </c>
      <c r="E189" s="281">
        <v>112.73</v>
      </c>
      <c r="F189" s="269">
        <v>7.29</v>
      </c>
      <c r="G189" s="270">
        <v>-3.3288232621978925E-4</v>
      </c>
      <c r="H189" s="221">
        <v>0.0031121425707806663</v>
      </c>
      <c r="I189" s="221">
        <v>-9.402461564636347E-4</v>
      </c>
      <c r="J189" s="221">
        <v>0.005111292250374026</v>
      </c>
      <c r="K189" s="221">
        <v>0.003658622519560506</v>
      </c>
    </row>
    <row r="190">
      <c r="A190" s="220">
        <v>43514.975680069445</v>
      </c>
      <c r="B190" s="281">
        <v>4.04</v>
      </c>
      <c r="C190" s="281">
        <v>46.662</v>
      </c>
      <c r="D190" s="281">
        <v>170.36</v>
      </c>
      <c r="E190" s="281">
        <v>111.97</v>
      </c>
      <c r="F190" s="269">
        <v>7.31</v>
      </c>
      <c r="G190" s="270">
        <v>0.0012332238392928445</v>
      </c>
      <c r="H190" s="221">
        <v>0.0026076076233395953</v>
      </c>
      <c r="I190" s="221">
        <v>-5.0134890653049285E-6</v>
      </c>
      <c r="J190" s="221">
        <v>0.0025037068931617057</v>
      </c>
      <c r="K190" s="221">
        <v>0.0036484755598749827</v>
      </c>
    </row>
    <row r="191">
      <c r="A191" s="220">
        <v>43511.97552689815</v>
      </c>
      <c r="B191" s="281">
        <v>4.054</v>
      </c>
      <c r="C191" s="281">
        <v>46.677</v>
      </c>
      <c r="D191" s="281">
        <v>171.07</v>
      </c>
      <c r="E191" s="281">
        <v>111.52</v>
      </c>
      <c r="F191" s="269">
        <v>7.28</v>
      </c>
      <c r="G191" s="270">
        <v>0.0029680494957716</v>
      </c>
      <c r="H191" s="221">
        <v>0.004565213008490554</v>
      </c>
      <c r="I191" s="221">
        <v>0.001990760166722357</v>
      </c>
      <c r="J191" s="221">
        <v>0.002753792091458096</v>
      </c>
      <c r="K191" s="221">
        <v>0.003663612368241161</v>
      </c>
    </row>
    <row r="192">
      <c r="A192" s="220">
        <v>43510.97556413195</v>
      </c>
      <c r="B192" s="281">
        <v>4.044</v>
      </c>
      <c r="C192" s="281">
        <v>46.137</v>
      </c>
      <c r="D192" s="281">
        <v>170.96</v>
      </c>
      <c r="E192" s="281">
        <v>111.01</v>
      </c>
      <c r="F192" s="269">
        <v>7.21</v>
      </c>
      <c r="G192" s="270">
        <v>-8.40744167409461E-4</v>
      </c>
      <c r="H192" s="221">
        <v>0.0038657365321384716</v>
      </c>
      <c r="I192" s="221">
        <v>1.223595201168178E-5</v>
      </c>
      <c r="J192" s="221">
        <v>4.457972664827133E-4</v>
      </c>
      <c r="K192" s="221">
        <v>0.0013844100890388529</v>
      </c>
    </row>
    <row r="193">
      <c r="A193" s="220">
        <v>43509.97554712963</v>
      </c>
      <c r="B193" s="281">
        <v>4.025</v>
      </c>
      <c r="C193" s="281">
        <v>46.295</v>
      </c>
      <c r="D193" s="281">
        <v>170.36</v>
      </c>
      <c r="E193" s="281">
        <v>111.13</v>
      </c>
      <c r="F193" s="269">
        <v>7.23</v>
      </c>
      <c r="G193" s="270">
        <v>-0.0015023938290575911</v>
      </c>
      <c r="H193" s="221">
        <v>0.00921760595256708</v>
      </c>
      <c r="I193" s="221">
        <v>-5.14165342852646E-4</v>
      </c>
      <c r="J193" s="221">
        <v>9.564649327456302E-4</v>
      </c>
      <c r="K193" s="221">
        <v>0.0018447992369905464</v>
      </c>
    </row>
    <row r="194">
      <c r="A194" s="220">
        <v>43508.97556262731</v>
      </c>
      <c r="B194" s="281">
        <v>4.018</v>
      </c>
      <c r="C194" s="281">
        <v>46.038</v>
      </c>
      <c r="D194" s="281">
        <v>170.05</v>
      </c>
      <c r="E194" s="281">
        <v>110.6</v>
      </c>
      <c r="F194" s="269">
        <v>7.2</v>
      </c>
      <c r="G194" s="270">
        <v>8.035419984774675E-4</v>
      </c>
      <c r="H194" s="221">
        <v>0.007500410480697088</v>
      </c>
      <c r="I194" s="221">
        <v>5.398863201901971E-4</v>
      </c>
      <c r="J194" s="221">
        <v>0.001231789483947754</v>
      </c>
      <c r="K194" s="221">
        <v>0.00138888709529994</v>
      </c>
    </row>
    <row r="195">
      <c r="A195" s="220">
        <v>43507.975571319446</v>
      </c>
      <c r="B195" s="281">
        <v>4.054</v>
      </c>
      <c r="C195" s="281">
        <v>45.602</v>
      </c>
      <c r="D195" s="281">
        <v>170.95</v>
      </c>
      <c r="E195" s="281">
        <v>110.86</v>
      </c>
      <c r="F195" s="269">
        <v>7.18</v>
      </c>
      <c r="G195" s="270">
        <v>0.005536609462355087</v>
      </c>
      <c r="H195" s="221">
        <v>-5.5619924351953585E-5</v>
      </c>
      <c r="I195" s="221">
        <v>0.003796288281504171</v>
      </c>
      <c r="J195" s="221">
        <v>0.002257400296681126</v>
      </c>
      <c r="K195" s="221">
        <v>-0.0032562392025460296</v>
      </c>
    </row>
    <row r="196">
      <c r="A196" s="220">
        <v>43504.97553083333</v>
      </c>
      <c r="B196" s="281">
        <v>4.043</v>
      </c>
      <c r="C196" s="281">
        <v>45.026</v>
      </c>
      <c r="D196" s="281">
        <v>170.62</v>
      </c>
      <c r="E196" s="281">
        <v>110.81</v>
      </c>
      <c r="F196" s="269">
        <v>7.19</v>
      </c>
      <c r="G196" s="270">
        <v>0.005468203455940679</v>
      </c>
      <c r="H196" s="221">
        <v>-0.003418045548959007</v>
      </c>
      <c r="I196" s="221">
        <v>0.0041389602233323775</v>
      </c>
      <c r="J196" s="221">
        <v>0.002258424316533151</v>
      </c>
      <c r="K196" s="221">
        <v>-0.00187244641927183</v>
      </c>
    </row>
    <row r="197">
      <c r="A197" s="220">
        <v>43503.97551042824</v>
      </c>
      <c r="B197" s="281">
        <v>4.008</v>
      </c>
      <c r="C197" s="281">
        <v>45.008</v>
      </c>
      <c r="D197" s="281">
        <v>169.77</v>
      </c>
      <c r="E197" s="281">
        <v>110.19</v>
      </c>
      <c r="F197" s="269">
        <v>7.17</v>
      </c>
      <c r="G197" s="270">
        <v>0.005935168329174105</v>
      </c>
      <c r="H197" s="221">
        <v>-5.393861354419105E-4</v>
      </c>
      <c r="I197" s="221">
        <v>0.003981722598157693</v>
      </c>
      <c r="J197" s="221">
        <v>0.001059673247929845</v>
      </c>
      <c r="K197" s="221">
        <v>-0.0018775762323991845</v>
      </c>
    </row>
    <row r="198">
      <c r="A198" s="220">
        <v>43502.97551524306</v>
      </c>
      <c r="B198" s="281">
        <v>3.987</v>
      </c>
      <c r="C198" s="281">
        <v>45.602</v>
      </c>
      <c r="D198" s="281">
        <v>169.01</v>
      </c>
      <c r="E198" s="281">
        <v>110.11</v>
      </c>
      <c r="F198" s="269">
        <v>7.25</v>
      </c>
      <c r="G198" s="270">
        <v>0.003426659819143104</v>
      </c>
      <c r="H198" s="221">
        <v>0.00562725644397218</v>
      </c>
      <c r="I198" s="221">
        <v>0.0030657619874122632</v>
      </c>
      <c r="J198" s="221">
        <v>0.0013335689342106234</v>
      </c>
      <c r="K198" s="221">
        <v>0.0027662658408615557</v>
      </c>
    </row>
    <row r="199">
      <c r="A199" s="220">
        <v>43501.97556668981</v>
      </c>
      <c r="B199" s="281">
        <v>3.977</v>
      </c>
      <c r="C199" s="281">
        <v>45.486</v>
      </c>
      <c r="D199" s="281">
        <v>168.51</v>
      </c>
      <c r="E199" s="281">
        <v>110.06</v>
      </c>
      <c r="F199" s="269">
        <v>7.23</v>
      </c>
      <c r="G199" s="270">
        <v>2.253449189222693E-4</v>
      </c>
      <c r="H199" s="221">
        <v>0.00541870759208396</v>
      </c>
      <c r="I199" s="221">
        <v>2.0853345021646744E-4</v>
      </c>
      <c r="J199" s="221">
        <v>-4.28688139435122E-4</v>
      </c>
      <c r="K199" s="221">
        <v>4.5590502683186723E-4</v>
      </c>
    </row>
    <row r="200">
      <c r="A200" s="220">
        <v>43500.97551991898</v>
      </c>
      <c r="B200" s="281">
        <v>3.937</v>
      </c>
      <c r="C200" s="281">
        <v>45.075</v>
      </c>
      <c r="D200" s="281">
        <v>167.75</v>
      </c>
      <c r="E200" s="281">
        <v>109.84</v>
      </c>
      <c r="F200" s="269">
        <v>7.21</v>
      </c>
      <c r="G200" s="270">
        <v>-0.0013658165055356886</v>
      </c>
      <c r="H200" s="221">
        <v>0.006444035785644527</v>
      </c>
      <c r="I200" s="221">
        <v>5.116233578724335E-5</v>
      </c>
      <c r="J200" s="221">
        <v>5.08154427546185E-4</v>
      </c>
      <c r="K200" s="221">
        <v>-4.4983657218056194E-6</v>
      </c>
    </row>
    <row r="201">
      <c r="A201" s="220">
        <v>43497.97557833334</v>
      </c>
      <c r="B201" s="281">
        <v>3.946</v>
      </c>
      <c r="C201" s="281">
        <v>44.836</v>
      </c>
      <c r="D201" s="281">
        <v>167.46</v>
      </c>
      <c r="E201" s="281">
        <v>109.67</v>
      </c>
      <c r="F201" s="269">
        <v>7.19</v>
      </c>
      <c r="G201" s="270">
        <v>1.5510229648400356E-4</v>
      </c>
      <c r="H201" s="221">
        <v>0.0077605175049970665</v>
      </c>
      <c r="I201" s="221">
        <v>-3.859712541420072E-4</v>
      </c>
      <c r="J201" s="221">
        <v>7.52107833151309E-4</v>
      </c>
      <c r="K201" s="221">
        <v>0.0018447850369596914</v>
      </c>
    </row>
    <row r="202">
      <c r="A202" s="220">
        <v>43496.975524027774</v>
      </c>
      <c r="B202" s="281">
        <v>3.974</v>
      </c>
      <c r="C202" s="281">
        <v>44.75</v>
      </c>
      <c r="D202" s="281">
        <v>168.4</v>
      </c>
      <c r="E202" s="281">
        <v>110.2</v>
      </c>
      <c r="F202" s="269">
        <v>7.22</v>
      </c>
      <c r="G202" s="270">
        <v>0.002435850134008007</v>
      </c>
      <c r="H202" s="221">
        <v>0.0077832659032253115</v>
      </c>
      <c r="I202" s="221">
        <v>0.0022804300250086986</v>
      </c>
      <c r="J202" s="221">
        <v>0.004312675157941277</v>
      </c>
      <c r="K202" s="221">
        <v>0.0060328084183071855</v>
      </c>
    </row>
    <row r="203">
      <c r="A203" s="220">
        <v>43495.97553278935</v>
      </c>
      <c r="B203" s="281">
        <v>3.953</v>
      </c>
      <c r="C203" s="281">
        <v>44.208</v>
      </c>
      <c r="D203" s="281">
        <v>167.72</v>
      </c>
      <c r="E203" s="281">
        <v>109.67</v>
      </c>
      <c r="F203" s="269">
        <v>7.21</v>
      </c>
      <c r="G203" s="270">
        <v>8.293472206440573E-5</v>
      </c>
      <c r="H203" s="221">
        <v>-0.0013555519831397467</v>
      </c>
      <c r="I203" s="221">
        <v>3.756745493040577E-5</v>
      </c>
      <c r="J203" s="221">
        <v>0.002495029147917771</v>
      </c>
      <c r="K203" s="221">
        <v>-5.407667861280588E-4</v>
      </c>
    </row>
    <row r="204">
      <c r="A204" s="220">
        <v>43494.97551300926</v>
      </c>
      <c r="B204" s="281">
        <v>3.944</v>
      </c>
      <c r="C204" s="281">
        <v>43.799</v>
      </c>
      <c r="D204" s="281">
        <v>167.65</v>
      </c>
      <c r="E204" s="281">
        <v>109.42</v>
      </c>
      <c r="F204" s="269">
        <v>7.15</v>
      </c>
      <c r="G204" s="270">
        <v>-0.0035437288447512185</v>
      </c>
      <c r="H204" s="221">
        <v>-0.0026218637487768945</v>
      </c>
      <c r="I204" s="221">
        <v>-0.0026656558659891396</v>
      </c>
      <c r="J204" s="221">
        <v>0.004215651546006671</v>
      </c>
      <c r="K204" s="221">
        <v>-0.0023913308559858995</v>
      </c>
    </row>
    <row r="205">
      <c r="A205" s="220">
        <v>43493.97552467593</v>
      </c>
      <c r="B205" s="281">
        <v>3.945</v>
      </c>
      <c r="C205" s="281">
        <v>43.712</v>
      </c>
      <c r="D205" s="281">
        <v>167.25</v>
      </c>
      <c r="E205" s="281">
        <v>108.78</v>
      </c>
      <c r="F205" s="269">
        <v>7.09</v>
      </c>
      <c r="G205" s="270">
        <v>-2.814233515900562E-4</v>
      </c>
      <c r="H205" s="221">
        <v>-0.0011165838971329833</v>
      </c>
      <c r="I205" s="221">
        <v>-0.0011334096519968935</v>
      </c>
      <c r="J205" s="221">
        <v>0.003160707853920197</v>
      </c>
      <c r="K205" s="221">
        <v>-0.003336681801336875</v>
      </c>
    </row>
    <row r="206">
      <c r="A206" s="220">
        <v>43490.97550826389</v>
      </c>
      <c r="B206" s="281">
        <v>3.952</v>
      </c>
      <c r="C206" s="281">
        <v>44.381</v>
      </c>
      <c r="D206" s="281">
        <v>167.7</v>
      </c>
      <c r="E206" s="281">
        <v>108.85</v>
      </c>
      <c r="F206" s="269">
        <v>7.22</v>
      </c>
      <c r="G206" s="270">
        <v>-2.8097390934789246E-4</v>
      </c>
      <c r="H206" s="221">
        <v>0.0011953035200441924</v>
      </c>
      <c r="I206" s="221">
        <v>-9.119156479498643E-4</v>
      </c>
      <c r="J206" s="221">
        <v>0.0034680154930143794</v>
      </c>
      <c r="K206" s="221">
        <v>0.0018441141895543616</v>
      </c>
    </row>
    <row r="207">
      <c r="A207" s="220">
        <v>43489.97557335648</v>
      </c>
      <c r="B207" s="281">
        <v>3.986</v>
      </c>
      <c r="C207" s="281">
        <v>44.139</v>
      </c>
      <c r="D207" s="281">
        <v>168.99</v>
      </c>
      <c r="E207" s="281">
        <v>108.04</v>
      </c>
      <c r="F207" s="269">
        <v>7.2</v>
      </c>
      <c r="G207" s="270">
        <v>0.004525246884297267</v>
      </c>
      <c r="H207" s="221">
        <v>-0.0024013151960165327</v>
      </c>
      <c r="I207" s="221">
        <v>0.0026037182869526796</v>
      </c>
      <c r="J207" s="221">
        <v>0.0014207597047867597</v>
      </c>
      <c r="K207" s="221">
        <v>-0.0014005096115552451</v>
      </c>
    </row>
    <row r="208">
      <c r="A208" s="220">
        <v>43488.975535833335</v>
      </c>
      <c r="B208" s="281">
        <v>3.948</v>
      </c>
      <c r="C208" s="281">
        <v>43.852</v>
      </c>
      <c r="D208" s="281">
        <v>167.81</v>
      </c>
      <c r="E208" s="281">
        <v>107.75</v>
      </c>
      <c r="F208" s="269">
        <v>7.16</v>
      </c>
      <c r="G208" s="270">
        <v>0.0014322324562132671</v>
      </c>
      <c r="H208" s="221">
        <v>-0.0055434791135583845</v>
      </c>
      <c r="I208" s="221">
        <v>2.9604470877061156E-4</v>
      </c>
      <c r="J208" s="221">
        <v>-4.964655295239817E-4</v>
      </c>
      <c r="K208" s="221">
        <v>-0.004174445373042864</v>
      </c>
    </row>
    <row r="209">
      <c r="A209" s="220">
        <v>43487.97551689815</v>
      </c>
      <c r="B209" s="281">
        <v>3.955</v>
      </c>
      <c r="C209" s="281">
        <v>44.219</v>
      </c>
      <c r="D209" s="281">
        <v>168.15</v>
      </c>
      <c r="E209" s="281">
        <v>107.72</v>
      </c>
      <c r="F209" s="269">
        <v>7.18</v>
      </c>
      <c r="G209" s="270">
        <v>7.513080227381508E-4</v>
      </c>
      <c r="H209" s="221">
        <v>0.0039225933372689275</v>
      </c>
      <c r="I209" s="221">
        <v>4.3461102325200357E-4</v>
      </c>
      <c r="J209" s="221">
        <v>-0.0020102101548716833</v>
      </c>
      <c r="K209" s="221">
        <v>8.945843579017213E-4</v>
      </c>
    </row>
    <row r="210">
      <c r="A210" s="220">
        <v>43486.97550305555</v>
      </c>
      <c r="B210" s="281">
        <v>3.932</v>
      </c>
      <c r="C210" s="281">
        <v>44.455</v>
      </c>
      <c r="D210" s="281">
        <v>167.67</v>
      </c>
      <c r="E210" s="281">
        <v>107.58</v>
      </c>
      <c r="F210" s="269">
        <v>7.23</v>
      </c>
      <c r="G210" s="270">
        <v>-2.5795546673379466E-4</v>
      </c>
      <c r="H210" s="221">
        <v>0.0062966920502163974</v>
      </c>
      <c r="I210" s="221">
        <v>-2.588763212671245E-4</v>
      </c>
      <c r="J210" s="221">
        <v>-0.0026587438289208767</v>
      </c>
      <c r="K210" s="221">
        <v>0.002284748428385145</v>
      </c>
    </row>
    <row r="211">
      <c r="A211" s="220">
        <v>43483.97549008102</v>
      </c>
      <c r="B211" s="281">
        <v>3.931</v>
      </c>
      <c r="C211" s="281">
        <v>44.585</v>
      </c>
      <c r="D211" s="281">
        <v>167.66</v>
      </c>
      <c r="E211" s="281">
        <v>107.91</v>
      </c>
      <c r="F211" s="269">
        <v>7.25</v>
      </c>
      <c r="G211" s="270">
        <v>-6.815694413630317E-4</v>
      </c>
      <c r="H211" s="221">
        <v>0.009740086824780114</v>
      </c>
      <c r="I211" s="221">
        <v>-9.938937096758416E-4</v>
      </c>
      <c r="J211" s="221">
        <v>-2.222565646585739E-4</v>
      </c>
      <c r="K211" s="221">
        <v>0.005528095104966102</v>
      </c>
    </row>
    <row r="212">
      <c r="A212" s="220">
        <v>43482.975494976854</v>
      </c>
      <c r="B212" s="281">
        <v>3.946</v>
      </c>
      <c r="C212" s="281">
        <v>43.692</v>
      </c>
      <c r="D212" s="281">
        <v>167.93</v>
      </c>
      <c r="E212" s="281">
        <v>108.37</v>
      </c>
      <c r="F212" s="269">
        <v>7.16</v>
      </c>
      <c r="G212" s="270">
        <v>0.001605857704576404</v>
      </c>
      <c r="H212" s="221">
        <v>0.007498802879528199</v>
      </c>
      <c r="I212" s="221">
        <v>0.0016242580525387407</v>
      </c>
      <c r="J212" s="221">
        <v>0.00292739583026691</v>
      </c>
      <c r="K212" s="221">
        <v>0.003727704977449194</v>
      </c>
    </row>
    <row r="213">
      <c r="A213" s="220">
        <v>43481.97549166667</v>
      </c>
      <c r="B213" s="281">
        <v>3.935</v>
      </c>
      <c r="C213" s="281">
        <v>43.614</v>
      </c>
      <c r="D213" s="281">
        <v>167.8</v>
      </c>
      <c r="E213" s="281">
        <v>108.44</v>
      </c>
      <c r="F213" s="269">
        <v>7.18</v>
      </c>
      <c r="G213" s="270">
        <v>-5.965898781520318E-4</v>
      </c>
      <c r="H213" s="221">
        <v>0.006131165934593248</v>
      </c>
      <c r="I213" s="221">
        <v>0.001186691556028796</v>
      </c>
      <c r="J213" s="221">
        <v>0.003235800104887332</v>
      </c>
      <c r="K213" s="221">
        <v>0.006071233052442208</v>
      </c>
    </row>
    <row r="214">
      <c r="A214" s="220">
        <v>43480.97549563657</v>
      </c>
      <c r="B214" s="281">
        <v>3.939</v>
      </c>
      <c r="C214" s="281">
        <v>43.291</v>
      </c>
      <c r="D214" s="281">
        <v>168.16</v>
      </c>
      <c r="E214" s="281">
        <v>107.98</v>
      </c>
      <c r="F214" s="269">
        <v>7.13</v>
      </c>
      <c r="G214" s="270">
        <v>0.0010952007212874</v>
      </c>
      <c r="H214" s="221">
        <v>0.005095092867193081</v>
      </c>
      <c r="I214" s="221">
        <v>0.0038555766303463392</v>
      </c>
      <c r="J214" s="221">
        <v>0.0033737833931721806</v>
      </c>
      <c r="K214" s="221">
        <v>0.005168410001809047</v>
      </c>
    </row>
    <row r="215">
      <c r="A215" s="220">
        <v>43479.975508020834</v>
      </c>
      <c r="B215" s="281">
        <v>3.927</v>
      </c>
      <c r="C215" s="281">
        <v>42.715</v>
      </c>
      <c r="D215" s="281">
        <v>167.11</v>
      </c>
      <c r="E215" s="281">
        <v>107.42</v>
      </c>
      <c r="F215" s="269">
        <v>7.08</v>
      </c>
      <c r="G215" s="270">
        <v>5.042348493563923E-4</v>
      </c>
      <c r="H215" s="221">
        <v>0.0011838785989529328</v>
      </c>
      <c r="I215" s="221">
        <v>0.0023958916012047915</v>
      </c>
      <c r="J215" s="221">
        <v>0.0014891446639020052</v>
      </c>
      <c r="K215" s="221">
        <v>0.0018812014785087872</v>
      </c>
    </row>
    <row r="216">
      <c r="A216" s="220">
        <v>43476.97549700231</v>
      </c>
      <c r="B216" s="281">
        <v>3.942</v>
      </c>
      <c r="C216" s="281">
        <v>42.814</v>
      </c>
      <c r="D216" s="281">
        <v>167.2</v>
      </c>
      <c r="E216" s="281">
        <v>107.39</v>
      </c>
      <c r="F216" s="269">
        <v>7.05</v>
      </c>
      <c r="G216" s="270">
        <v>-0.00323825586374508</v>
      </c>
      <c r="H216" s="221">
        <v>0.003969143669371918</v>
      </c>
      <c r="I216" s="221">
        <v>-4.5835925948848705E-4</v>
      </c>
      <c r="J216" s="221">
        <v>4.297782068510836E-4</v>
      </c>
      <c r="K216" s="221">
        <v>0.0023627114939172023</v>
      </c>
    </row>
    <row r="217">
      <c r="A217" s="220">
        <v>43475.97551362269</v>
      </c>
      <c r="B217" s="281">
        <v>3.926</v>
      </c>
      <c r="C217" s="281">
        <v>42.63</v>
      </c>
      <c r="D217" s="281">
        <v>166.22</v>
      </c>
      <c r="E217" s="281">
        <v>106.89</v>
      </c>
      <c r="F217" s="269">
        <v>7.02</v>
      </c>
      <c r="G217" s="270">
        <v>-0.00500996745739742</v>
      </c>
      <c r="H217" s="221">
        <v>0.003497841025926318</v>
      </c>
      <c r="I217" s="221">
        <v>-0.0026311173403315014</v>
      </c>
      <c r="J217" s="221">
        <v>-0.001308677644650702</v>
      </c>
      <c r="K217" s="221">
        <v>0.0014204622537955884</v>
      </c>
    </row>
    <row r="218">
      <c r="A218" s="220">
        <v>43474.975515439815</v>
      </c>
      <c r="B218" s="281">
        <v>3.921</v>
      </c>
      <c r="C218" s="281">
        <v>42.563</v>
      </c>
      <c r="D218" s="281">
        <v>165.91</v>
      </c>
      <c r="E218" s="281">
        <v>106.94</v>
      </c>
      <c r="F218" s="269">
        <v>7.04</v>
      </c>
      <c r="G218" s="270">
        <v>-0.006354604855280869</v>
      </c>
      <c r="H218" s="221">
        <v>0.00562898839431251</v>
      </c>
      <c r="I218" s="221">
        <v>-0.005242476793634691</v>
      </c>
      <c r="J218" s="221">
        <v>-0.001711881870245587</v>
      </c>
      <c r="K218" s="221">
        <v>0.0038007450346507024</v>
      </c>
    </row>
    <row r="219">
      <c r="A219" s="220">
        <v>43473.97549445602</v>
      </c>
      <c r="B219" s="281">
        <v>3.98</v>
      </c>
      <c r="C219" s="281">
        <v>42.306</v>
      </c>
      <c r="D219" s="281">
        <v>167.42</v>
      </c>
      <c r="E219" s="281">
        <v>107.25</v>
      </c>
      <c r="F219" s="269">
        <v>7.0</v>
      </c>
      <c r="G219" s="270">
        <v>-0.005426298328912615</v>
      </c>
      <c r="H219" s="221">
        <v>0.010299201605413569</v>
      </c>
      <c r="I219" s="221">
        <v>-0.004700841361009307</v>
      </c>
      <c r="J219" s="221">
        <v>-0.0026372567827240476</v>
      </c>
      <c r="K219" s="221">
        <v>0.007653932077492838</v>
      </c>
    </row>
    <row r="220">
      <c r="A220" s="220">
        <v>43472.975529999996</v>
      </c>
      <c r="B220" s="281">
        <v>3.985</v>
      </c>
      <c r="C220" s="281">
        <v>42.184</v>
      </c>
      <c r="D220" s="281">
        <v>167.53</v>
      </c>
      <c r="E220" s="281">
        <v>107.31</v>
      </c>
      <c r="F220" s="269">
        <v>6.99</v>
      </c>
      <c r="G220" s="270">
        <v>-0.0017936936077377712</v>
      </c>
      <c r="H220" s="221">
        <v>0.0026239776787363813</v>
      </c>
      <c r="I220" s="221">
        <v>-0.0031664809518186696</v>
      </c>
      <c r="J220" s="221">
        <v>-0.003098325162386321</v>
      </c>
      <c r="K220" s="221">
        <v>0.0032791061237195476</v>
      </c>
    </row>
    <row r="221">
      <c r="A221" s="220">
        <v>43469.97551916666</v>
      </c>
      <c r="B221" s="281">
        <v>3.996</v>
      </c>
      <c r="C221" s="281">
        <v>41.848</v>
      </c>
      <c r="D221" s="281">
        <v>168.53</v>
      </c>
      <c r="E221" s="281">
        <v>107.49</v>
      </c>
      <c r="F221" s="269">
        <v>6.96</v>
      </c>
      <c r="G221" s="270">
        <v>0.004784602895646047</v>
      </c>
      <c r="H221" s="221">
        <v>0.0021043156870496813</v>
      </c>
      <c r="I221" s="221">
        <v>0.0036127110173194885</v>
      </c>
      <c r="J221" s="221">
        <v>0.0012770091658753646</v>
      </c>
      <c r="K221" s="221">
        <v>0.003775273232801838</v>
      </c>
    </row>
    <row r="222">
      <c r="A222" s="220">
        <v>43468.975556226855</v>
      </c>
      <c r="B222" s="281">
        <v>4.045</v>
      </c>
      <c r="C222" s="281">
        <v>41.009</v>
      </c>
      <c r="D222" s="281">
        <v>169.79</v>
      </c>
      <c r="E222" s="281">
        <v>108.1</v>
      </c>
      <c r="F222" s="269">
        <v>6.84</v>
      </c>
      <c r="G222" s="270">
        <v>0.008872023649733496</v>
      </c>
      <c r="H222" s="221">
        <v>-0.0020525579695716</v>
      </c>
      <c r="I222" s="221">
        <v>0.0060448573144406366</v>
      </c>
      <c r="J222" s="221">
        <v>0.004320552400728521</v>
      </c>
      <c r="K222" s="221">
        <v>-0.0019718532039797823</v>
      </c>
    </row>
    <row r="223">
      <c r="A223" s="220">
        <v>43467.975532094904</v>
      </c>
      <c r="B223" s="281">
        <v>4.006</v>
      </c>
      <c r="C223" s="281">
        <v>41.835</v>
      </c>
      <c r="D223" s="281">
        <v>169.12</v>
      </c>
      <c r="E223" s="281">
        <v>108.31</v>
      </c>
      <c r="F223" s="269">
        <v>6.92</v>
      </c>
      <c r="G223" s="270">
        <v>0.0029495286442268176</v>
      </c>
      <c r="H223" s="221">
        <v>0.010786370943581073</v>
      </c>
      <c r="I223" s="221">
        <v>0.004269654132624516</v>
      </c>
      <c r="J223" s="221">
        <v>0.004999341204296866</v>
      </c>
      <c r="K223" s="221">
        <v>-1.1202222520934058E-5</v>
      </c>
    </row>
    <row r="224">
      <c r="A224" s="220">
        <v>43465.0</v>
      </c>
      <c r="B224" s="281">
        <v>3.938</v>
      </c>
      <c r="C224" s="281">
        <v>41.567</v>
      </c>
      <c r="D224" s="281">
        <v>166.69</v>
      </c>
      <c r="E224" s="281">
        <v>107.07</v>
      </c>
      <c r="F224" s="269">
        <v>6.88</v>
      </c>
      <c r="G224" s="270">
        <v>-8.614635157280226E-4</v>
      </c>
      <c r="H224" s="221">
        <v>0.013096100829094626</v>
      </c>
      <c r="I224" s="221">
        <v>-5.997086790724785E-4</v>
      </c>
      <c r="J224" s="221">
        <v>0.004026262702464016</v>
      </c>
      <c r="K224" s="221">
        <v>-0.003864766769727135</v>
      </c>
    </row>
    <row r="225">
      <c r="A225" s="220">
        <v>43462.97555304398</v>
      </c>
      <c r="B225" s="281">
        <v>3.938</v>
      </c>
      <c r="C225" s="281">
        <v>41.252</v>
      </c>
      <c r="D225" s="281">
        <v>166.72</v>
      </c>
      <c r="E225" s="281">
        <v>106.7</v>
      </c>
      <c r="F225" s="269">
        <v>6.88</v>
      </c>
      <c r="G225" s="270">
        <v>-8.614635157280226E-4</v>
      </c>
      <c r="H225" s="221">
        <v>-8.514094856288216E-4</v>
      </c>
      <c r="I225" s="221">
        <v>5.781143291736512E-4</v>
      </c>
      <c r="J225" s="221">
        <v>0.003977286309085633</v>
      </c>
      <c r="K225" s="221">
        <v>-0.005780475581987687</v>
      </c>
    </row>
    <row r="226">
      <c r="A226" s="220">
        <v>43461.97553350695</v>
      </c>
      <c r="B226" s="281">
        <v>3.97</v>
      </c>
      <c r="C226" s="281">
        <v>40.494</v>
      </c>
      <c r="D226" s="281">
        <v>166.95</v>
      </c>
      <c r="E226" s="281">
        <v>106.69</v>
      </c>
      <c r="F226" s="269">
        <v>6.92</v>
      </c>
      <c r="G226" s="270">
        <v>-9.390336337118018E-4</v>
      </c>
      <c r="H226" s="221">
        <v>-0.007460357009072586</v>
      </c>
      <c r="I226" s="221">
        <v>6.774552493263494E-4</v>
      </c>
      <c r="J226" s="221">
        <v>0.004325444724794643</v>
      </c>
      <c r="K226" s="221">
        <v>-0.00574725299062558</v>
      </c>
    </row>
    <row r="227">
      <c r="A227" s="220">
        <v>43458.975581516206</v>
      </c>
      <c r="B227" s="281">
        <v>3.948</v>
      </c>
      <c r="C227" s="281">
        <v>39.954</v>
      </c>
      <c r="D227" s="281">
        <v>166.99</v>
      </c>
      <c r="E227" s="281">
        <v>105.78</v>
      </c>
      <c r="F227" s="269">
        <v>6.96</v>
      </c>
      <c r="G227" s="270">
        <v>8.979455860117872E-4</v>
      </c>
      <c r="H227" s="221">
        <v>-0.022634503314261572</v>
      </c>
      <c r="I227" s="221">
        <v>0.0016976391888350688</v>
      </c>
      <c r="J227" s="221">
        <v>0.0024635466783670865</v>
      </c>
      <c r="K227" s="221">
        <v>-0.006187894959446716</v>
      </c>
    </row>
    <row r="228">
      <c r="A228" s="220">
        <v>43455.9755625463</v>
      </c>
      <c r="B228" s="281">
        <v>3.948</v>
      </c>
      <c r="C228" s="281">
        <v>41.323</v>
      </c>
      <c r="D228" s="281">
        <v>166.43</v>
      </c>
      <c r="E228" s="281">
        <v>105.43</v>
      </c>
      <c r="F228" s="269">
        <v>7.0</v>
      </c>
      <c r="G228" s="270">
        <v>0.0014906134380140805</v>
      </c>
      <c r="H228" s="221">
        <v>-0.012485031859092999</v>
      </c>
      <c r="I228" s="221">
        <v>-4.2336223548974E-4</v>
      </c>
      <c r="J228" s="221">
        <v>0.0016463429581571691</v>
      </c>
      <c r="K228" s="221">
        <v>-0.005212477637548174</v>
      </c>
    </row>
    <row r="229">
      <c r="A229" s="220">
        <v>43454.97555884259</v>
      </c>
      <c r="B229" s="281">
        <v>3.981</v>
      </c>
      <c r="C229" s="281">
        <v>41.383</v>
      </c>
      <c r="D229" s="281">
        <v>166.61</v>
      </c>
      <c r="E229" s="281">
        <v>105.31</v>
      </c>
      <c r="F229" s="269">
        <v>7.04</v>
      </c>
      <c r="G229" s="270">
        <v>0.005803551866593315</v>
      </c>
      <c r="H229" s="221">
        <v>-0.017093006247511644</v>
      </c>
      <c r="I229" s="221">
        <v>1.5718489707938765E-4</v>
      </c>
      <c r="J229" s="221">
        <v>0.0019341828904765694</v>
      </c>
      <c r="K229" s="221">
        <v>-0.007995948269120015</v>
      </c>
    </row>
    <row r="230">
      <c r="A230" s="220">
        <v>43453.975029305555</v>
      </c>
      <c r="B230" s="281">
        <v>3.937</v>
      </c>
      <c r="C230" s="281">
        <v>42.715</v>
      </c>
      <c r="D230" s="281">
        <v>166.14</v>
      </c>
      <c r="E230" s="281">
        <v>105.0</v>
      </c>
      <c r="F230" s="269">
        <v>7.09</v>
      </c>
      <c r="G230" s="270">
        <v>0.0018637616873729372</v>
      </c>
      <c r="H230" s="221">
        <v>-0.011432914443907075</v>
      </c>
      <c r="I230" s="221">
        <v>-0.0016838734172782328</v>
      </c>
      <c r="J230" s="221">
        <v>4.1172396317742016E-4</v>
      </c>
      <c r="K230" s="221">
        <v>-0.01117637423474016</v>
      </c>
    </row>
    <row r="231">
      <c r="A231" s="220">
        <v>43452.97457569445</v>
      </c>
      <c r="B231" s="281">
        <v>3.93</v>
      </c>
      <c r="C231" s="281">
        <v>42.878</v>
      </c>
      <c r="D231" s="281">
        <v>166.64</v>
      </c>
      <c r="E231" s="281">
        <v>104.91</v>
      </c>
      <c r="F231" s="269">
        <v>7.11</v>
      </c>
      <c r="G231" s="270">
        <v>0.004336227934987484</v>
      </c>
      <c r="H231" s="221">
        <v>-0.012604633229932919</v>
      </c>
      <c r="I231" s="221">
        <v>0.0017946429488403897</v>
      </c>
      <c r="J231" s="221">
        <v>9.842150746215417E-4</v>
      </c>
      <c r="K231" s="221">
        <v>-0.011145587064523621</v>
      </c>
    </row>
    <row r="232">
      <c r="A232" s="220">
        <v>43451.973419444446</v>
      </c>
      <c r="B232" s="281">
        <v>3.912</v>
      </c>
      <c r="C232" s="281">
        <v>43.533</v>
      </c>
      <c r="D232" s="281">
        <v>166.53</v>
      </c>
      <c r="E232" s="281">
        <v>104.7</v>
      </c>
      <c r="F232" s="269">
        <v>7.21</v>
      </c>
      <c r="G232" s="270">
        <v>-0.003205785660762387</v>
      </c>
      <c r="H232" s="221">
        <v>-0.009534275627100556</v>
      </c>
      <c r="I232" s="221">
        <v>0.0015947195649363977</v>
      </c>
      <c r="J232" s="221">
        <v>-3.522395720181315E-4</v>
      </c>
      <c r="K232" s="221">
        <v>-0.007817898745876942</v>
      </c>
    </row>
    <row r="233">
      <c r="A233" s="220">
        <v>43448.97341672453</v>
      </c>
      <c r="B233" s="281">
        <v>3.915</v>
      </c>
      <c r="C233" s="281">
        <v>44.195</v>
      </c>
      <c r="D233" s="281">
        <v>166.98</v>
      </c>
      <c r="E233" s="281">
        <v>104.87</v>
      </c>
      <c r="F233" s="269">
        <v>7.33</v>
      </c>
      <c r="G233" s="270">
        <v>-0.0058200868143769196</v>
      </c>
      <c r="H233" s="221">
        <v>-0.00256753670057804</v>
      </c>
      <c r="I233" s="221">
        <v>8.189393961481144E-5</v>
      </c>
      <c r="J233" s="221">
        <v>-2.8806438027547304E-4</v>
      </c>
      <c r="K233" s="221">
        <v>-0.004076733271346574</v>
      </c>
    </row>
    <row r="234">
      <c r="A234" s="220">
        <v>43447.99310577546</v>
      </c>
      <c r="B234" s="281">
        <v>3.879</v>
      </c>
      <c r="C234" s="281">
        <v>44.519</v>
      </c>
      <c r="D234" s="281">
        <v>165.74</v>
      </c>
      <c r="E234" s="281">
        <v>104.6</v>
      </c>
      <c r="F234" s="269">
        <v>7.35</v>
      </c>
      <c r="G234" s="270">
        <v>-0.0072951296929711544</v>
      </c>
      <c r="H234" s="221">
        <v>0.008603592912102961</v>
      </c>
      <c r="I234" s="221">
        <v>-0.0015947144152797337</v>
      </c>
      <c r="J234" s="221">
        <v>-5.746234359705523E-4</v>
      </c>
      <c r="K234" s="221">
        <v>-0.0027179926529081744</v>
      </c>
    </row>
    <row r="235">
      <c r="A235" s="220">
        <v>43446.97483011574</v>
      </c>
      <c r="B235" s="281">
        <v>3.949</v>
      </c>
      <c r="C235" s="281">
        <v>44.789</v>
      </c>
      <c r="D235" s="281">
        <v>165.73</v>
      </c>
      <c r="E235" s="281">
        <v>104.81</v>
      </c>
      <c r="F235" s="269">
        <v>7.38</v>
      </c>
      <c r="G235" s="270">
        <v>0.002251952420198785</v>
      </c>
      <c r="H235" s="221">
        <v>0.002777633564055878</v>
      </c>
      <c r="I235" s="221">
        <v>5.069135896492346E-4</v>
      </c>
      <c r="J235" s="221">
        <v>9.217224846029085E-4</v>
      </c>
      <c r="K235" s="221">
        <v>-0.004506346320961104</v>
      </c>
    </row>
    <row r="236">
      <c r="A236" s="220">
        <v>43445.0</v>
      </c>
      <c r="B236" s="281">
        <v>3.983</v>
      </c>
      <c r="C236" s="281">
        <v>44.534</v>
      </c>
      <c r="D236" s="281">
        <v>166.93</v>
      </c>
      <c r="E236" s="281">
        <v>104.96</v>
      </c>
      <c r="F236" s="269">
        <v>7.42</v>
      </c>
      <c r="G236" s="270">
        <v>0.0024021764627863615</v>
      </c>
      <c r="H236" s="221">
        <v>0.00333540947613468</v>
      </c>
      <c r="I236" s="221">
        <v>0.0011477496322347773</v>
      </c>
      <c r="J236" s="221">
        <v>0.0019728290137100237</v>
      </c>
      <c r="K236" s="221">
        <v>0.004876095988310551</v>
      </c>
    </row>
    <row r="237">
      <c r="A237" s="220">
        <v>43444.97340633102</v>
      </c>
      <c r="B237" s="281">
        <v>3.964</v>
      </c>
      <c r="C237" s="281">
        <v>43.368</v>
      </c>
      <c r="D237" s="281">
        <v>166.53</v>
      </c>
      <c r="E237" s="281">
        <v>104.78</v>
      </c>
      <c r="F237" s="269">
        <v>7.41</v>
      </c>
      <c r="G237" s="270">
        <v>0.0045214091331817014</v>
      </c>
      <c r="H237" s="221">
        <v>-0.016194964250337618</v>
      </c>
      <c r="I237" s="221">
        <v>0.0021123620039599964</v>
      </c>
      <c r="J237" s="221">
        <v>0.0019123321195663179</v>
      </c>
      <c r="K237" s="221">
        <v>-0.002869081942449355</v>
      </c>
    </row>
    <row r="238">
      <c r="A238" s="220">
        <v>43441.97344800926</v>
      </c>
      <c r="B238" s="281">
        <v>3.922</v>
      </c>
      <c r="C238" s="281">
        <v>44.389</v>
      </c>
      <c r="D238" s="281">
        <v>165.47</v>
      </c>
      <c r="E238" s="281">
        <v>104.52</v>
      </c>
      <c r="F238" s="269">
        <v>7.48</v>
      </c>
      <c r="G238" s="270">
        <v>0.0015863835018173529</v>
      </c>
      <c r="H238" s="221">
        <v>-0.014905614074324003</v>
      </c>
      <c r="I238" s="221">
        <v>3.330810318779391E-4</v>
      </c>
      <c r="J238" s="221">
        <v>7.012514058878002E-4</v>
      </c>
      <c r="K238" s="221">
        <v>7.26045305182684E-4</v>
      </c>
    </row>
    <row r="239">
      <c r="A239" s="220">
        <v>43440.97339533565</v>
      </c>
      <c r="B239" s="281">
        <v>3.954</v>
      </c>
      <c r="C239" s="281">
        <v>44.062</v>
      </c>
      <c r="D239" s="281">
        <v>166.35</v>
      </c>
      <c r="E239" s="281">
        <v>104.34</v>
      </c>
      <c r="F239" s="269">
        <v>7.31</v>
      </c>
      <c r="G239" s="270">
        <v>0.009601156501435079</v>
      </c>
      <c r="H239" s="221">
        <v>-0.01920803880309152</v>
      </c>
      <c r="I239" s="221">
        <v>0.0036988723378347244</v>
      </c>
      <c r="J239" s="221">
        <v>0.0014055622875001432</v>
      </c>
      <c r="K239" s="221">
        <v>-0.005509229696848417</v>
      </c>
    </row>
    <row r="240">
      <c r="A240" s="220">
        <v>43439.97343138889</v>
      </c>
      <c r="B240" s="281">
        <v>3.91</v>
      </c>
      <c r="C240" s="281">
        <v>45.49</v>
      </c>
      <c r="D240" s="281">
        <v>165.47</v>
      </c>
      <c r="E240" s="281">
        <v>104.18</v>
      </c>
      <c r="F240" s="269">
        <v>7.47</v>
      </c>
      <c r="G240" s="270">
        <v>0.006325747389154553</v>
      </c>
      <c r="H240" s="221">
        <v>-0.0038598196996479186</v>
      </c>
      <c r="I240" s="221">
        <v>0.0014694915383262435</v>
      </c>
      <c r="J240" s="221">
        <v>0.0037497224327374123</v>
      </c>
      <c r="K240" s="221">
        <v>0.0044785019759953455</v>
      </c>
    </row>
    <row r="241">
      <c r="A241" s="220">
        <v>43438.97348383102</v>
      </c>
      <c r="B241" s="281">
        <v>3.903</v>
      </c>
      <c r="C241" s="281">
        <v>46.385</v>
      </c>
      <c r="D241" s="281">
        <v>165.3</v>
      </c>
      <c r="E241" s="281">
        <v>104.3</v>
      </c>
      <c r="F241" s="269">
        <v>7.46</v>
      </c>
      <c r="G241" s="270">
        <v>0.007901388753285091</v>
      </c>
      <c r="H241" s="221">
        <v>0.005038672680660013</v>
      </c>
      <c r="I241" s="221">
        <v>0.003170656980622281</v>
      </c>
      <c r="J241" s="221">
        <v>0.004457266465683785</v>
      </c>
      <c r="K241" s="221">
        <v>0.005389124717224081</v>
      </c>
    </row>
    <row r="242">
      <c r="A242" s="220">
        <v>43437.973497962965</v>
      </c>
      <c r="B242" s="281">
        <v>3.841</v>
      </c>
      <c r="C242" s="281">
        <v>46.642</v>
      </c>
      <c r="D242" s="281">
        <v>164.51</v>
      </c>
      <c r="E242" s="281">
        <v>103.9</v>
      </c>
      <c r="F242" s="269">
        <v>7.43</v>
      </c>
      <c r="G242" s="270">
        <v>1.572655938354058E-4</v>
      </c>
      <c r="H242" s="221">
        <v>0.008950488964347691</v>
      </c>
      <c r="I242" s="221">
        <v>-9.182123089727472E-5</v>
      </c>
      <c r="J242" s="221">
        <v>0.003405638106295128</v>
      </c>
      <c r="K242" s="221">
        <v>0.003140376930055163</v>
      </c>
    </row>
    <row r="243">
      <c r="A243" s="220">
        <v>43434.97342417824</v>
      </c>
      <c r="B243" s="281">
        <v>3.836</v>
      </c>
      <c r="C243" s="281">
        <v>46.006</v>
      </c>
      <c r="D243" s="281">
        <v>164.74</v>
      </c>
      <c r="E243" s="281">
        <v>103.01</v>
      </c>
      <c r="F243" s="269">
        <v>7.37</v>
      </c>
      <c r="G243" s="270">
        <v>-5.371336864742338E-4</v>
      </c>
      <c r="H243" s="221">
        <v>0.007253981162646787</v>
      </c>
      <c r="I243" s="221">
        <v>5.56524608568106E-4</v>
      </c>
      <c r="J243" s="221">
        <v>0.0010041078473307745</v>
      </c>
      <c r="K243" s="221">
        <v>0.0031659781940261977</v>
      </c>
    </row>
    <row r="244">
      <c r="A244" s="220">
        <v>43433.97351476851</v>
      </c>
      <c r="B244" s="281">
        <v>3.811</v>
      </c>
      <c r="C244" s="281">
        <v>45.683</v>
      </c>
      <c r="D244" s="281">
        <v>163.73</v>
      </c>
      <c r="E244" s="281">
        <v>102.91</v>
      </c>
      <c r="F244" s="269">
        <v>7.34</v>
      </c>
      <c r="G244" s="270">
        <v>-0.001061088504497265</v>
      </c>
      <c r="H244" s="221">
        <v>0.007779609131711607</v>
      </c>
      <c r="I244" s="221">
        <v>2.965153751361971E-4</v>
      </c>
      <c r="J244" s="221">
        <v>-3.256521602766534E-4</v>
      </c>
      <c r="K244" s="221">
        <v>0.0036356101091703508</v>
      </c>
    </row>
    <row r="245">
      <c r="A245" s="220">
        <v>43432.973458611115</v>
      </c>
      <c r="B245" s="281">
        <v>3.839</v>
      </c>
      <c r="C245" s="281">
        <v>45.4</v>
      </c>
      <c r="D245" s="281">
        <v>164.55</v>
      </c>
      <c r="E245" s="281">
        <v>102.84</v>
      </c>
      <c r="F245" s="269">
        <v>7.36</v>
      </c>
      <c r="G245" s="270">
        <v>2.544722101018859E-4</v>
      </c>
      <c r="H245" s="221">
        <v>0.007761339602358697</v>
      </c>
      <c r="I245" s="221">
        <v>0.0012119670668829425</v>
      </c>
      <c r="J245" s="221">
        <v>-9.730586276115819E-4</v>
      </c>
      <c r="K245" s="221">
        <v>-4.749290511918414E-5</v>
      </c>
    </row>
    <row r="246">
      <c r="A246" s="220">
        <v>43431.97346934028</v>
      </c>
      <c r="B246" s="281">
        <v>3.842</v>
      </c>
      <c r="C246" s="281">
        <v>45.012</v>
      </c>
      <c r="D246" s="281">
        <v>164.46</v>
      </c>
      <c r="E246" s="281">
        <v>102.7</v>
      </c>
      <c r="F246" s="269">
        <v>7.3</v>
      </c>
      <c r="G246" s="270">
        <v>0.0032956310247951683</v>
      </c>
      <c r="H246" s="221">
        <v>0.008550235922069124</v>
      </c>
      <c r="I246" s="221">
        <v>0.003388094275849333</v>
      </c>
      <c r="J246" s="221">
        <v>-6.511932065018655E-4</v>
      </c>
      <c r="K246" s="221">
        <v>-0.002764884209467041</v>
      </c>
    </row>
    <row r="247">
      <c r="A247" s="220">
        <v>43430.98210945602</v>
      </c>
      <c r="B247" s="281">
        <v>3.823</v>
      </c>
      <c r="C247" s="281">
        <v>44.625</v>
      </c>
      <c r="D247" s="281">
        <v>163.58</v>
      </c>
      <c r="E247" s="281">
        <v>103.01</v>
      </c>
      <c r="F247" s="269">
        <v>7.26</v>
      </c>
      <c r="G247" s="270">
        <v>0.0023482005092670586</v>
      </c>
      <c r="H247" s="221">
        <v>9.579256420057339E-4</v>
      </c>
      <c r="I247" s="221">
        <v>0.0019320996641161159</v>
      </c>
      <c r="J247" s="221">
        <v>3.8736753239480376E-4</v>
      </c>
      <c r="K247" s="221">
        <v>-0.009573252285702827</v>
      </c>
    </row>
    <row r="248">
      <c r="A248" s="220">
        <v>43427.97507409722</v>
      </c>
      <c r="B248" s="281">
        <v>3.836</v>
      </c>
      <c r="C248" s="281">
        <v>44.351</v>
      </c>
      <c r="D248" s="281">
        <v>163.95</v>
      </c>
      <c r="E248" s="281">
        <v>103.14</v>
      </c>
      <c r="F248" s="269">
        <v>7.36</v>
      </c>
      <c r="G248" s="270">
        <v>0.0019010796177558742</v>
      </c>
      <c r="H248" s="221">
        <v>0.001009137159602158</v>
      </c>
      <c r="I248" s="221">
        <v>0.0017842204378636002</v>
      </c>
      <c r="J248" s="221">
        <v>0.001650362181671916</v>
      </c>
      <c r="K248" s="221">
        <v>-0.002750737248510863</v>
      </c>
    </row>
    <row r="249">
      <c r="A249" s="220">
        <v>43426.973485243056</v>
      </c>
      <c r="B249" s="281">
        <v>3.804</v>
      </c>
      <c r="C249" s="281">
        <v>43.867</v>
      </c>
      <c r="D249" s="281">
        <v>162.79</v>
      </c>
      <c r="E249" s="281">
        <v>102.9</v>
      </c>
      <c r="F249" s="269">
        <v>7.36</v>
      </c>
      <c r="G249" s="270">
        <v>0.0023541057062624513</v>
      </c>
      <c r="H249" s="221">
        <v>-0.007981870417179756</v>
      </c>
      <c r="I249" s="221">
        <v>0.0013881252813921312</v>
      </c>
      <c r="J249" s="221">
        <v>0.002596111431321805</v>
      </c>
      <c r="K249" s="221">
        <v>-0.005895391336561251</v>
      </c>
    </row>
    <row r="250">
      <c r="A250" s="220">
        <v>43425.9745921875</v>
      </c>
      <c r="B250" s="281">
        <v>3.796</v>
      </c>
      <c r="C250" s="281">
        <v>44.489</v>
      </c>
      <c r="D250" s="281">
        <v>162.63</v>
      </c>
      <c r="E250" s="281">
        <v>102.89</v>
      </c>
      <c r="F250" s="269">
        <v>7.47</v>
      </c>
      <c r="G250" s="270">
        <v>0.0011235684486845532</v>
      </c>
      <c r="H250" s="221">
        <v>-0.0070548941325536685</v>
      </c>
      <c r="I250" s="221">
        <v>2.1745587115932588E-4</v>
      </c>
      <c r="J250" s="221">
        <v>0.0018454674397575161</v>
      </c>
      <c r="K250" s="221">
        <v>8.66644034271317E-4</v>
      </c>
    </row>
    <row r="251">
      <c r="A251" s="220">
        <v>43424.97343309028</v>
      </c>
      <c r="B251" s="281">
        <v>3.814</v>
      </c>
      <c r="C251" s="281">
        <v>44.209</v>
      </c>
      <c r="D251" s="281">
        <v>163.07</v>
      </c>
      <c r="E251" s="281">
        <v>102.63</v>
      </c>
      <c r="F251" s="269">
        <v>7.42</v>
      </c>
      <c r="G251" s="270">
        <v>6.077491307647046E-5</v>
      </c>
      <c r="H251" s="221">
        <v>-0.009174802392859283</v>
      </c>
      <c r="I251" s="221">
        <v>-9.317311172470181E-4</v>
      </c>
      <c r="J251" s="221">
        <v>7.099461119431568E-4</v>
      </c>
      <c r="K251" s="221">
        <v>-0.003154211947448249</v>
      </c>
    </row>
    <row r="252">
      <c r="A252" s="220">
        <v>43423.0</v>
      </c>
      <c r="B252" s="281">
        <v>3.777</v>
      </c>
      <c r="C252" s="281">
        <v>44.919</v>
      </c>
      <c r="D252" s="281">
        <v>162.11</v>
      </c>
      <c r="E252" s="281">
        <v>102.1</v>
      </c>
      <c r="F252" s="269">
        <v>7.49</v>
      </c>
      <c r="G252" s="270">
        <v>-0.0022113029695001174</v>
      </c>
      <c r="H252" s="221">
        <v>-0.004943950344656593</v>
      </c>
      <c r="I252" s="221">
        <v>-0.006685663702595305</v>
      </c>
      <c r="J252" s="221">
        <v>0.0016250133906687836</v>
      </c>
      <c r="K252" s="221">
        <v>-0.002234747000474916</v>
      </c>
    </row>
    <row r="253">
      <c r="A253" s="220">
        <v>43420.0</v>
      </c>
      <c r="B253" s="281">
        <v>3.783</v>
      </c>
      <c r="C253" s="281">
        <v>45.431</v>
      </c>
      <c r="D253" s="281">
        <v>162.52</v>
      </c>
      <c r="E253" s="281">
        <v>102.32</v>
      </c>
      <c r="F253" s="269">
        <v>7.45</v>
      </c>
      <c r="G253" s="270">
        <v>-0.0013310895678889285</v>
      </c>
      <c r="H253" s="221">
        <v>-0.006116696515969207</v>
      </c>
      <c r="I253" s="221">
        <v>-0.0057418367378612905</v>
      </c>
      <c r="J253" s="221">
        <v>0.0012605863069337826</v>
      </c>
      <c r="K253" s="221">
        <v>4.0596817649548217E-4</v>
      </c>
    </row>
    <row r="254">
      <c r="A254" s="220">
        <v>43419.0</v>
      </c>
      <c r="B254" s="281">
        <v>3.813</v>
      </c>
      <c r="C254" s="281">
        <v>45.434</v>
      </c>
      <c r="D254" s="281">
        <v>163.52</v>
      </c>
      <c r="E254" s="281">
        <v>102.41</v>
      </c>
      <c r="F254" s="269">
        <v>7.49</v>
      </c>
      <c r="G254" s="270">
        <v>-0.0019350080151650333</v>
      </c>
      <c r="H254" s="221">
        <v>-0.005806502752264464</v>
      </c>
      <c r="I254" s="221">
        <v>-0.004960994019923041</v>
      </c>
      <c r="J254" s="221">
        <v>2.456968683040017E-4</v>
      </c>
      <c r="K254" s="221">
        <v>-0.0022846093895962927</v>
      </c>
    </row>
    <row r="255">
      <c r="A255" s="220">
        <v>43418.0</v>
      </c>
      <c r="B255" s="281">
        <v>3.802</v>
      </c>
      <c r="C255" s="281">
        <v>45.587</v>
      </c>
      <c r="D255" s="281">
        <v>165.38</v>
      </c>
      <c r="E255" s="281">
        <v>101.6</v>
      </c>
      <c r="F255" s="269">
        <v>7.54</v>
      </c>
      <c r="G255" s="270">
        <v>0.002926924441481312</v>
      </c>
      <c r="H255" s="221">
        <v>-0.007553891038755256</v>
      </c>
      <c r="I255" s="221">
        <v>0.002466005263300023</v>
      </c>
      <c r="J255" s="221">
        <v>-0.001348385184180012</v>
      </c>
      <c r="K255" s="221">
        <v>0.003919359592329548</v>
      </c>
    </row>
    <row r="256">
      <c r="A256" s="220">
        <v>43417.0</v>
      </c>
      <c r="B256" s="281">
        <v>3.798</v>
      </c>
      <c r="C256" s="281">
        <v>46.267</v>
      </c>
      <c r="D256" s="281">
        <v>165.33</v>
      </c>
      <c r="E256" s="281">
        <v>101.93</v>
      </c>
      <c r="F256" s="269">
        <v>7.44</v>
      </c>
      <c r="G256" s="270">
        <v>0.006734052064183649</v>
      </c>
      <c r="H256" s="221">
        <v>-0.0036183531550402583</v>
      </c>
      <c r="I256" s="221">
        <v>0.005756434486252478</v>
      </c>
      <c r="J256" s="221">
        <v>-0.0018668582328569272</v>
      </c>
      <c r="K256" s="221">
        <v>-5.4079604437632746E-5</v>
      </c>
    </row>
    <row r="257">
      <c r="A257" s="220">
        <v>43416.0</v>
      </c>
      <c r="B257" s="281">
        <v>3.835</v>
      </c>
      <c r="C257" s="281">
        <v>46.227</v>
      </c>
      <c r="D257" s="281">
        <v>165.96</v>
      </c>
      <c r="E257" s="281">
        <v>102.33</v>
      </c>
      <c r="F257" s="269">
        <v>7.54</v>
      </c>
      <c r="G257" s="270">
        <v>0.009264721987301513</v>
      </c>
      <c r="H257" s="221">
        <v>7.037275769613179E-5</v>
      </c>
      <c r="I257" s="221">
        <v>0.007498474331185445</v>
      </c>
      <c r="J257" s="221">
        <v>1.5667617103409803E-4</v>
      </c>
      <c r="K257" s="221">
        <v>0.005770293155418993</v>
      </c>
    </row>
    <row r="258">
      <c r="A258" s="220">
        <v>43413.0</v>
      </c>
      <c r="B258" s="281">
        <v>3.768</v>
      </c>
      <c r="C258" s="281">
        <v>46.625</v>
      </c>
      <c r="D258" s="281">
        <v>164.15</v>
      </c>
      <c r="E258" s="281">
        <v>102.01</v>
      </c>
      <c r="F258" s="269">
        <v>7.45</v>
      </c>
      <c r="G258" s="270">
        <v>0.003977503830726777</v>
      </c>
      <c r="H258" s="221">
        <v>0.007051754611581955</v>
      </c>
      <c r="I258" s="221">
        <v>0.002527672399098161</v>
      </c>
      <c r="J258" s="221">
        <v>-0.002384855712408059</v>
      </c>
      <c r="K258" s="221">
        <v>-4.5769946095830516E-4</v>
      </c>
    </row>
    <row r="259">
      <c r="A259" s="220">
        <v>43412.0</v>
      </c>
      <c r="B259" s="281">
        <v>3.721</v>
      </c>
      <c r="C259" s="281">
        <v>46.77</v>
      </c>
      <c r="D259" s="281">
        <v>162.48</v>
      </c>
      <c r="E259" s="281">
        <v>102.5</v>
      </c>
      <c r="F259" s="269">
        <v>7.44</v>
      </c>
      <c r="G259" s="270">
        <v>-8.07051122045673E-4</v>
      </c>
      <c r="H259" s="221">
        <v>0.00973161781551446</v>
      </c>
      <c r="I259" s="221">
        <v>-0.0015592581777192545</v>
      </c>
      <c r="J259" s="221">
        <v>-0.0021463685312754035</v>
      </c>
      <c r="K259" s="221">
        <v>-0.00403291942605181</v>
      </c>
    </row>
    <row r="260">
      <c r="A260" s="220">
        <v>43411.0</v>
      </c>
      <c r="B260" s="281">
        <v>3.729</v>
      </c>
      <c r="C260" s="281">
        <v>46.212</v>
      </c>
      <c r="D260" s="281">
        <v>162.25</v>
      </c>
      <c r="E260" s="281">
        <v>102.28</v>
      </c>
      <c r="F260" s="269">
        <v>7.41</v>
      </c>
      <c r="G260" s="270">
        <v>-1.797633975421098E-4</v>
      </c>
      <c r="H260" s="221">
        <v>0.006987728014238341</v>
      </c>
      <c r="I260" s="221">
        <v>-0.0023986680950534023</v>
      </c>
      <c r="J260" s="221">
        <v>-0.003895808189301316</v>
      </c>
      <c r="K260" s="221">
        <v>-0.004048984199217213</v>
      </c>
    </row>
    <row r="261">
      <c r="A261" s="220">
        <v>43410.0</v>
      </c>
      <c r="B261" s="281">
        <v>3.723</v>
      </c>
      <c r="C261" s="281">
        <v>45.642</v>
      </c>
      <c r="D261" s="281">
        <v>162.9</v>
      </c>
      <c r="E261" s="281">
        <v>102.74</v>
      </c>
      <c r="F261" s="269">
        <v>7.46</v>
      </c>
      <c r="G261" s="270">
        <v>-0.0032176636942380377</v>
      </c>
      <c r="H261" s="221">
        <v>8.798809429560647E-4</v>
      </c>
      <c r="I261" s="221">
        <v>-0.002246326049824369</v>
      </c>
      <c r="J261" s="221">
        <v>-0.0021711691300620264</v>
      </c>
      <c r="K261" s="221">
        <v>-9.108825347997987E-4</v>
      </c>
    </row>
    <row r="262">
      <c r="A262" s="220">
        <v>43409.0</v>
      </c>
      <c r="B262" s="281">
        <v>3.73</v>
      </c>
      <c r="C262" s="281">
        <v>45.417</v>
      </c>
      <c r="D262" s="281">
        <v>163.24</v>
      </c>
      <c r="E262" s="281">
        <v>103.16</v>
      </c>
      <c r="F262" s="269">
        <v>7.53</v>
      </c>
      <c r="G262" s="270">
        <v>-0.004985182772990167</v>
      </c>
      <c r="H262" s="221">
        <v>-0.0012759376002119775</v>
      </c>
      <c r="I262" s="221">
        <v>-0.003583123027370553</v>
      </c>
      <c r="J262" s="221">
        <v>0.0015768209182767112</v>
      </c>
      <c r="K262" s="221">
        <v>4.34378942933004E-4</v>
      </c>
    </row>
    <row r="263">
      <c r="A263" s="220">
        <v>43406.0</v>
      </c>
      <c r="B263" s="281">
        <v>3.731</v>
      </c>
      <c r="C263" s="281">
        <v>45.249</v>
      </c>
      <c r="D263" s="281">
        <v>163.42</v>
      </c>
      <c r="E263" s="281">
        <v>103.48</v>
      </c>
      <c r="F263" s="269">
        <v>7.5</v>
      </c>
      <c r="G263" s="270">
        <v>-0.004719729928754764</v>
      </c>
      <c r="H263" s="221">
        <v>0.006294144021579203</v>
      </c>
      <c r="I263" s="221">
        <v>-0.002791323631797571</v>
      </c>
      <c r="J263" s="221">
        <v>0.0017666849844426569</v>
      </c>
      <c r="K263" s="221">
        <v>-4.5037989405945683E-4</v>
      </c>
    </row>
    <row r="264">
      <c r="A264" s="165">
        <v>43405.0</v>
      </c>
      <c r="B264" s="280">
        <v>3.759</v>
      </c>
      <c r="C264" s="280">
        <v>45.52</v>
      </c>
      <c r="D264" s="280">
        <v>164.0</v>
      </c>
      <c r="E264" s="280">
        <v>103.41</v>
      </c>
      <c r="F264" s="280">
        <v>7.48</v>
      </c>
      <c r="G264" s="273">
        <v>-0.0028</v>
      </c>
      <c r="H264" s="223">
        <v>0.0069</v>
      </c>
      <c r="I264" s="223">
        <v>-0.001</v>
      </c>
      <c r="J264" s="223">
        <v>5.0E-4</v>
      </c>
      <c r="K264" s="223">
        <v>-0.004</v>
      </c>
    </row>
    <row r="265">
      <c r="A265" s="165">
        <v>43404.0</v>
      </c>
      <c r="B265" s="280">
        <v>3.786</v>
      </c>
      <c r="C265" s="280">
        <v>45.59</v>
      </c>
      <c r="D265" s="280">
        <v>165.0</v>
      </c>
      <c r="E265" s="280">
        <v>102.67</v>
      </c>
      <c r="F265" s="280">
        <v>7.52</v>
      </c>
      <c r="G265" s="273">
        <v>-0.0016</v>
      </c>
      <c r="H265" s="223">
        <v>0.0086</v>
      </c>
      <c r="I265" s="223">
        <v>6.0E-4</v>
      </c>
      <c r="J265" s="223">
        <v>-0.0047</v>
      </c>
      <c r="K265" s="223">
        <v>-0.004</v>
      </c>
    </row>
    <row r="266">
      <c r="A266" s="165">
        <v>43403.0</v>
      </c>
      <c r="B266" s="280">
        <v>3.784</v>
      </c>
      <c r="C266" s="280">
        <v>44.386</v>
      </c>
      <c r="D266" s="280">
        <v>164.79</v>
      </c>
      <c r="E266" s="280">
        <v>102.93</v>
      </c>
      <c r="F266" s="280">
        <v>7.51</v>
      </c>
      <c r="G266" s="273">
        <v>-4.0E-4</v>
      </c>
      <c r="H266" s="223">
        <v>-0.0054</v>
      </c>
      <c r="I266" s="223">
        <v>0.0013</v>
      </c>
      <c r="J266" s="223">
        <v>-0.0015</v>
      </c>
      <c r="K266" s="223">
        <v>-0.004</v>
      </c>
    </row>
    <row r="267">
      <c r="A267" s="165">
        <v>43402.0</v>
      </c>
      <c r="B267" s="280">
        <v>3.791</v>
      </c>
      <c r="C267" s="280">
        <v>44.565</v>
      </c>
      <c r="D267" s="280">
        <v>164.49</v>
      </c>
      <c r="E267" s="280">
        <v>103.24</v>
      </c>
      <c r="F267" s="280">
        <v>7.57</v>
      </c>
      <c r="G267" s="273">
        <v>6.0E-4</v>
      </c>
      <c r="H267" s="223">
        <v>-0.004</v>
      </c>
      <c r="I267" s="223">
        <v>0.0011</v>
      </c>
      <c r="J267" s="223">
        <v>4.0E-4</v>
      </c>
      <c r="K267" s="223">
        <v>-0.0018</v>
      </c>
    </row>
    <row r="268">
      <c r="A268" s="165">
        <v>43399.0</v>
      </c>
      <c r="B268" s="280">
        <v>3.804</v>
      </c>
      <c r="C268" s="280">
        <v>44.414</v>
      </c>
      <c r="D268" s="280">
        <v>164.69</v>
      </c>
      <c r="E268" s="280">
        <v>104.11</v>
      </c>
      <c r="F268" s="280">
        <v>7.61</v>
      </c>
      <c r="G268" s="273">
        <v>0.004</v>
      </c>
      <c r="H268" s="223">
        <v>-0.0029</v>
      </c>
      <c r="I268" s="223">
        <v>0.0042</v>
      </c>
      <c r="J268" s="223">
        <v>0.0044</v>
      </c>
      <c r="K268" s="223">
        <v>0.0013</v>
      </c>
    </row>
    <row r="269">
      <c r="A269" s="165">
        <v>43398.0</v>
      </c>
      <c r="B269" s="280">
        <v>3.788</v>
      </c>
      <c r="C269" s="280">
        <v>45.101</v>
      </c>
      <c r="D269" s="280">
        <v>164.13</v>
      </c>
      <c r="E269" s="280">
        <v>103.39</v>
      </c>
      <c r="F269" s="280">
        <v>7.6</v>
      </c>
      <c r="G269" s="273">
        <v>0.0049</v>
      </c>
      <c r="H269" s="223">
        <v>-0.0045</v>
      </c>
      <c r="I269" s="223">
        <v>0.0043</v>
      </c>
      <c r="J269" s="223">
        <v>0.0052</v>
      </c>
      <c r="K269" s="223">
        <v>-9.0E-4</v>
      </c>
    </row>
    <row r="270">
      <c r="A270" s="165">
        <v>43397.0</v>
      </c>
      <c r="B270" s="280">
        <v>3.784</v>
      </c>
      <c r="C270" s="280">
        <v>45.102</v>
      </c>
      <c r="D270" s="280">
        <v>163.96</v>
      </c>
      <c r="E270" s="280">
        <v>103.11</v>
      </c>
      <c r="F270" s="280">
        <v>7.61</v>
      </c>
      <c r="G270" s="273">
        <v>0.0046</v>
      </c>
      <c r="H270" s="223">
        <v>-0.0064</v>
      </c>
      <c r="I270" s="223">
        <v>0.0047</v>
      </c>
      <c r="J270" s="223">
        <v>0.0032</v>
      </c>
      <c r="K270" s="223">
        <v>-9.0E-4</v>
      </c>
    </row>
    <row r="271">
      <c r="A271" s="165">
        <v>43396.0</v>
      </c>
      <c r="B271" s="280">
        <v>3.758</v>
      </c>
      <c r="C271" s="280">
        <v>44.8</v>
      </c>
      <c r="D271" s="280">
        <v>162.62</v>
      </c>
      <c r="E271" s="280">
        <v>102.73</v>
      </c>
      <c r="F271" s="280">
        <v>7.58</v>
      </c>
      <c r="G271" s="273">
        <v>0.0015</v>
      </c>
      <c r="H271" s="223">
        <v>-0.0081</v>
      </c>
      <c r="I271" s="223">
        <v>0.0023</v>
      </c>
      <c r="J271" s="223">
        <v>0.0025</v>
      </c>
      <c r="K271" s="223">
        <v>-0.0013</v>
      </c>
    </row>
    <row r="272">
      <c r="A272" s="165">
        <v>43395.0</v>
      </c>
      <c r="B272" s="280">
        <v>3.732</v>
      </c>
      <c r="C272" s="280">
        <v>45.706</v>
      </c>
      <c r="D272" s="280">
        <v>162.02</v>
      </c>
      <c r="E272" s="280">
        <v>101.79</v>
      </c>
      <c r="F272" s="280">
        <v>7.62</v>
      </c>
      <c r="G272" s="273">
        <v>-7.0E-4</v>
      </c>
      <c r="H272" s="223">
        <v>-0.002</v>
      </c>
      <c r="I272" s="223">
        <v>0.0015</v>
      </c>
      <c r="J272" s="223">
        <v>3.0E-4</v>
      </c>
      <c r="K272" s="223">
        <v>-0.0013</v>
      </c>
    </row>
    <row r="273">
      <c r="A273" s="165">
        <v>43392.0</v>
      </c>
      <c r="B273" s="280">
        <v>3.732</v>
      </c>
      <c r="C273" s="280">
        <v>45.963</v>
      </c>
      <c r="D273" s="280">
        <v>161.68</v>
      </c>
      <c r="E273" s="280">
        <v>102.11</v>
      </c>
      <c r="F273" s="280">
        <v>7.63</v>
      </c>
      <c r="G273" s="273">
        <v>0.0013</v>
      </c>
      <c r="H273" s="223">
        <v>0.0017</v>
      </c>
      <c r="I273" s="223">
        <v>0.0025</v>
      </c>
      <c r="J273" s="223">
        <v>0.0024</v>
      </c>
      <c r="K273" s="223">
        <v>-9.0E-4</v>
      </c>
    </row>
    <row r="274">
      <c r="A274" s="165">
        <v>43391.0</v>
      </c>
      <c r="B274" s="280">
        <v>3.741</v>
      </c>
      <c r="C274" s="280">
        <v>45.895</v>
      </c>
      <c r="D274" s="280">
        <v>161.49</v>
      </c>
      <c r="E274" s="280">
        <v>101.96</v>
      </c>
      <c r="F274" s="280">
        <v>7.61</v>
      </c>
      <c r="G274" s="273">
        <v>0.0022</v>
      </c>
      <c r="H274" s="223">
        <v>0.0039</v>
      </c>
      <c r="I274" s="223">
        <v>0.002</v>
      </c>
      <c r="J274" s="223">
        <v>0.0023</v>
      </c>
      <c r="K274" s="223">
        <v>-0.0013</v>
      </c>
    </row>
    <row r="275">
      <c r="A275" s="165">
        <v>43390.0</v>
      </c>
      <c r="B275" s="280">
        <v>3.74</v>
      </c>
      <c r="C275" s="280">
        <v>45.98</v>
      </c>
      <c r="D275" s="280">
        <v>161.28</v>
      </c>
      <c r="E275" s="280">
        <v>101.7</v>
      </c>
      <c r="F275" s="280">
        <v>7.65</v>
      </c>
      <c r="G275" s="273">
        <v>8.0E-4</v>
      </c>
      <c r="H275" s="223">
        <v>0.0047</v>
      </c>
      <c r="I275" s="223">
        <v>9.0E-4</v>
      </c>
      <c r="J275" s="223">
        <v>0.003</v>
      </c>
      <c r="K275" s="223">
        <v>0.0017</v>
      </c>
    </row>
    <row r="276">
      <c r="A276" s="165">
        <v>43389.0</v>
      </c>
      <c r="B276" s="280">
        <v>3.717</v>
      </c>
      <c r="C276" s="280">
        <v>45.732</v>
      </c>
      <c r="D276" s="280">
        <v>160.49</v>
      </c>
      <c r="E276" s="280">
        <v>101.37</v>
      </c>
      <c r="F276" s="280">
        <v>7.65</v>
      </c>
      <c r="G276" s="273">
        <v>-9.0E-4</v>
      </c>
      <c r="H276" s="223">
        <v>0.003</v>
      </c>
      <c r="I276" s="223">
        <v>-9.0E-4</v>
      </c>
      <c r="J276" s="223">
        <v>0.0022</v>
      </c>
      <c r="K276" s="223">
        <v>0.0039</v>
      </c>
    </row>
    <row r="277">
      <c r="A277" s="165">
        <v>43388.0</v>
      </c>
      <c r="B277" s="280">
        <v>3.716</v>
      </c>
      <c r="C277" s="280">
        <v>45.353</v>
      </c>
      <c r="D277" s="280">
        <v>160.54</v>
      </c>
      <c r="E277" s="280">
        <v>101.26</v>
      </c>
      <c r="F277" s="280">
        <v>7.64</v>
      </c>
      <c r="G277" s="273">
        <v>0.0011</v>
      </c>
      <c r="H277" s="223">
        <v>-0.0101</v>
      </c>
      <c r="I277" s="223">
        <v>-2.0E-4</v>
      </c>
      <c r="J277" s="223">
        <v>0.0089</v>
      </c>
      <c r="K277" s="223">
        <v>0.0</v>
      </c>
    </row>
    <row r="278">
      <c r="A278" s="165">
        <v>43385.0</v>
      </c>
      <c r="B278" s="280">
        <v>3.731</v>
      </c>
      <c r="C278" s="280">
        <v>45.335</v>
      </c>
      <c r="D278" s="280">
        <v>160.86</v>
      </c>
      <c r="E278" s="280">
        <v>100.8</v>
      </c>
      <c r="F278" s="280">
        <v>7.61</v>
      </c>
      <c r="G278" s="273">
        <v>9.0E-4</v>
      </c>
      <c r="H278" s="223">
        <v>-0.0175</v>
      </c>
      <c r="I278" s="223">
        <v>-0.0011</v>
      </c>
      <c r="J278" s="223">
        <v>0.0056</v>
      </c>
      <c r="K278" s="223">
        <v>-0.0057</v>
      </c>
    </row>
  </sheetData>
  <conditionalFormatting sqref="G2:K278">
    <cfRule type="expression" dxfId="14" priority="1">
      <formula>G2&lt;AVERAGEIFS(G:G,G:G,"&lt;0",G:G,"&gt;-0.03")*2</formula>
    </cfRule>
  </conditionalFormatting>
  <conditionalFormatting sqref="G2:K278">
    <cfRule type="expression" dxfId="12" priority="2">
      <formula>G2&gt;AVERAGEIFS(G:G,G:G,"&gt;0",G:G,"&lt;0.03")*2</formula>
    </cfRule>
  </conditionalFormatting>
  <conditionalFormatting sqref="B2:F278">
    <cfRule type="expression" dxfId="15" priority="3">
      <formula>B2=MAX(B:B)</formula>
    </cfRule>
  </conditionalFormatting>
  <conditionalFormatting sqref="B2:F278">
    <cfRule type="expression" dxfId="16" priority="4">
      <formula>B2=MIN(B:B)</formula>
    </cfRule>
  </conditionalFormatting>
  <conditionalFormatting sqref="B2:F278">
    <cfRule type="expression" dxfId="17" priority="5">
      <formula>B2&gt;AVERAGEIFS(B:B,$A:$A,"&gt;" &amp; DATE(YEAR(TODAY())-1,MONTH(TODAY()),DAY(TODAY())))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57" t="s">
        <v>528</v>
      </c>
      <c r="B1" s="57" t="s">
        <v>552</v>
      </c>
      <c r="C1" s="57" t="s">
        <v>373</v>
      </c>
      <c r="D1" s="57" t="s">
        <v>247</v>
      </c>
    </row>
    <row r="2">
      <c r="A2" s="23" t="s">
        <v>542</v>
      </c>
      <c r="B2" s="261">
        <v>15649.04</v>
      </c>
      <c r="C2" s="230">
        <v>159.5753148871527</v>
      </c>
      <c r="D2" s="282">
        <v>15808.615314887154</v>
      </c>
    </row>
    <row r="3">
      <c r="A3" s="23" t="s">
        <v>553</v>
      </c>
      <c r="B3" s="261">
        <v>100.0</v>
      </c>
      <c r="C3" s="230">
        <v>0.3125</v>
      </c>
      <c r="D3" s="282">
        <v>100.3125</v>
      </c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8" width="14.43"/>
  </cols>
  <sheetData>
    <row r="1">
      <c r="A1" s="42" t="s">
        <v>2</v>
      </c>
      <c r="B1" s="3" t="s">
        <v>148</v>
      </c>
      <c r="C1" s="3" t="s">
        <v>554</v>
      </c>
      <c r="D1" s="3" t="s">
        <v>555</v>
      </c>
      <c r="E1" s="3" t="s">
        <v>244</v>
      </c>
      <c r="F1" s="3" t="s">
        <v>556</v>
      </c>
      <c r="G1" s="3" t="s">
        <v>557</v>
      </c>
      <c r="H1" s="3" t="s">
        <v>247</v>
      </c>
    </row>
    <row r="2">
      <c r="A2" s="165">
        <v>43770.0</v>
      </c>
      <c r="B2" s="170">
        <v>15649.04</v>
      </c>
      <c r="C2" s="170">
        <v>15500.003541666701</v>
      </c>
      <c r="D2" s="170">
        <v>0.0</v>
      </c>
      <c r="E2" s="223">
        <v>0.0125</v>
      </c>
      <c r="F2" s="170">
        <v>159.5753148871527</v>
      </c>
      <c r="G2" s="170">
        <v>308.61177322045296</v>
      </c>
      <c r="H2" s="170">
        <v>15808.615314887154</v>
      </c>
    </row>
    <row r="3">
      <c r="A3" s="165">
        <v>43739.0</v>
      </c>
      <c r="B3" s="170">
        <v>15649.04</v>
      </c>
      <c r="C3" s="170">
        <v>15500.003541666701</v>
      </c>
      <c r="D3" s="170">
        <v>0.0</v>
      </c>
      <c r="E3" s="223">
        <v>0.0125</v>
      </c>
      <c r="F3" s="170">
        <v>143.27423155381936</v>
      </c>
      <c r="G3" s="170">
        <v>292.3106898871192</v>
      </c>
      <c r="H3" s="170">
        <v>15792.31423155382</v>
      </c>
    </row>
    <row r="4">
      <c r="A4" s="165">
        <v>43709.0</v>
      </c>
      <c r="B4" s="170">
        <v>15649.04</v>
      </c>
      <c r="C4" s="170">
        <v>15500.003541666701</v>
      </c>
      <c r="D4" s="170">
        <v>-999.9964583332985</v>
      </c>
      <c r="E4" s="223">
        <v>0.0125</v>
      </c>
      <c r="F4" s="170">
        <v>126.97314822048604</v>
      </c>
      <c r="G4" s="170">
        <v>276.0096065537855</v>
      </c>
      <c r="H4" s="170">
        <v>15776.013148220487</v>
      </c>
    </row>
    <row r="5">
      <c r="A5" s="165">
        <v>43678.0</v>
      </c>
      <c r="B5" s="170">
        <v>16649.0364583333</v>
      </c>
      <c r="C5" s="170">
        <v>16500.0</v>
      </c>
      <c r="D5" s="170">
        <v>0.0</v>
      </c>
      <c r="E5" s="223">
        <v>0.0125</v>
      </c>
      <c r="F5" s="170">
        <v>110.6720648871527</v>
      </c>
      <c r="G5" s="170">
        <v>259.70852322045175</v>
      </c>
      <c r="H5" s="170">
        <v>16759.70852322045</v>
      </c>
    </row>
    <row r="6">
      <c r="A6" s="165">
        <v>43647.0</v>
      </c>
      <c r="B6" s="170">
        <v>16649.0364583333</v>
      </c>
      <c r="C6" s="170">
        <v>16500.0</v>
      </c>
      <c r="D6" s="170">
        <v>2000.0</v>
      </c>
      <c r="E6" s="223">
        <v>0.0125</v>
      </c>
      <c r="F6" s="170">
        <v>93.32931857638884</v>
      </c>
      <c r="G6" s="170">
        <v>242.36577690968988</v>
      </c>
      <c r="H6" s="170">
        <v>16742.36577690969</v>
      </c>
    </row>
    <row r="7">
      <c r="A7" s="165">
        <v>43617.0</v>
      </c>
      <c r="B7" s="170">
        <v>14649.0364583333</v>
      </c>
      <c r="C7" s="170">
        <v>14500.0</v>
      </c>
      <c r="D7" s="170">
        <v>-500.0</v>
      </c>
      <c r="E7" s="223">
        <v>0.0125</v>
      </c>
      <c r="F7" s="170">
        <v>78.06990559895833</v>
      </c>
      <c r="G7" s="170">
        <v>227.1063639322577</v>
      </c>
      <c r="H7" s="170">
        <v>14727.106363932258</v>
      </c>
    </row>
    <row r="8">
      <c r="A8" s="165">
        <v>43586.0</v>
      </c>
      <c r="B8" s="170">
        <v>15149.0364583333</v>
      </c>
      <c r="C8" s="170">
        <v>15000.0</v>
      </c>
      <c r="D8" s="170">
        <v>0.0</v>
      </c>
      <c r="E8" s="223">
        <v>0.0125</v>
      </c>
      <c r="F8" s="170">
        <v>62.87259114583334</v>
      </c>
      <c r="G8" s="170">
        <v>211.9090494791327</v>
      </c>
      <c r="H8" s="170">
        <v>15211.909049479133</v>
      </c>
    </row>
    <row r="9">
      <c r="A9" s="165">
        <v>43556.0</v>
      </c>
      <c r="B9" s="170">
        <v>15149.0364583333</v>
      </c>
      <c r="C9" s="170">
        <v>15000.0</v>
      </c>
      <c r="D9" s="170">
        <v>0.0</v>
      </c>
      <c r="E9" s="223">
        <v>0.0125</v>
      </c>
      <c r="F9" s="170">
        <v>47.154443359375</v>
      </c>
      <c r="G9" s="170">
        <v>196.19090169267437</v>
      </c>
      <c r="H9" s="170">
        <v>15196.190901692675</v>
      </c>
    </row>
    <row r="10">
      <c r="A10" s="165">
        <v>43525.0</v>
      </c>
      <c r="B10" s="170">
        <v>15149.0364583333</v>
      </c>
      <c r="C10" s="170">
        <v>15000.0</v>
      </c>
      <c r="D10" s="170">
        <v>0.0</v>
      </c>
      <c r="E10" s="223">
        <v>0.0125</v>
      </c>
      <c r="F10" s="170">
        <v>31.43629557291667</v>
      </c>
      <c r="G10" s="170">
        <v>180.47275390621604</v>
      </c>
      <c r="H10" s="170">
        <v>15180.472753906217</v>
      </c>
    </row>
    <row r="11">
      <c r="A11" s="165">
        <v>43497.0</v>
      </c>
      <c r="B11" s="170">
        <v>15149.0364583333</v>
      </c>
      <c r="C11" s="170">
        <v>15000.0</v>
      </c>
      <c r="D11" s="170">
        <v>-1000.0</v>
      </c>
      <c r="E11" s="223">
        <v>0.0125</v>
      </c>
      <c r="F11" s="170">
        <v>15.718147786458335</v>
      </c>
      <c r="G11" s="170">
        <v>164.7546061197577</v>
      </c>
      <c r="H11" s="170">
        <v>15164.75460611979</v>
      </c>
    </row>
    <row r="12">
      <c r="A12" s="165">
        <v>43466.0</v>
      </c>
      <c r="B12" s="170">
        <v>16149.036458333332</v>
      </c>
      <c r="C12" s="170">
        <v>16000.0</v>
      </c>
      <c r="D12" s="170">
        <v>-1000.0</v>
      </c>
      <c r="E12" s="223">
        <v>0.0125</v>
      </c>
      <c r="F12" s="170">
        <v>138.61979166666669</v>
      </c>
      <c r="G12" s="170">
        <v>149.04</v>
      </c>
      <c r="H12" s="170">
        <v>16149.03645833333</v>
      </c>
    </row>
    <row r="13">
      <c r="A13" s="165">
        <v>43435.0</v>
      </c>
      <c r="B13" s="170">
        <v>17010.416666666664</v>
      </c>
      <c r="C13" s="170">
        <v>17000.0</v>
      </c>
      <c r="D13" s="170">
        <v>0.0</v>
      </c>
      <c r="E13" s="223">
        <v>0.0125</v>
      </c>
      <c r="F13" s="170">
        <v>121.94661458333336</v>
      </c>
      <c r="G13" s="170">
        <v>132.3632812499976</v>
      </c>
      <c r="H13" s="170">
        <v>17132.363281249996</v>
      </c>
    </row>
    <row r="14">
      <c r="A14" s="165">
        <v>43405.0</v>
      </c>
      <c r="B14" s="170">
        <v>17010.416666666664</v>
      </c>
      <c r="C14" s="170">
        <v>17000.0</v>
      </c>
      <c r="D14" s="170">
        <v>7000.0</v>
      </c>
      <c r="E14" s="223">
        <v>0.0125</v>
      </c>
      <c r="F14" s="170">
        <v>104.23177083333336</v>
      </c>
      <c r="G14" s="170">
        <v>114.6484374999976</v>
      </c>
      <c r="H14" s="170">
        <v>17114.648437499996</v>
      </c>
    </row>
    <row r="15">
      <c r="A15" s="165">
        <v>43374.0</v>
      </c>
      <c r="B15" s="170">
        <v>10010.416666666666</v>
      </c>
      <c r="C15" s="170">
        <v>10000.0</v>
      </c>
      <c r="D15" s="170">
        <v>0.0</v>
      </c>
      <c r="E15" s="223">
        <v>0.0125</v>
      </c>
      <c r="F15" s="170">
        <v>93.80859375</v>
      </c>
      <c r="G15" s="170">
        <v>104.22526041666606</v>
      </c>
      <c r="H15" s="170">
        <v>10104.225260416666</v>
      </c>
    </row>
    <row r="16">
      <c r="A16" s="165">
        <v>43344.0</v>
      </c>
      <c r="B16" s="170">
        <v>10010.416666666666</v>
      </c>
      <c r="C16" s="170">
        <v>10000.0</v>
      </c>
      <c r="D16" s="170">
        <v>0.0</v>
      </c>
      <c r="E16" s="223">
        <v>0.0125</v>
      </c>
      <c r="F16" s="170">
        <v>83.38541666666669</v>
      </c>
      <c r="G16" s="170">
        <v>93.80208333333275</v>
      </c>
      <c r="H16" s="170">
        <v>10093.802083333332</v>
      </c>
    </row>
    <row r="17">
      <c r="A17" s="165">
        <v>43313.0</v>
      </c>
      <c r="B17" s="170">
        <v>10010.416666666666</v>
      </c>
      <c r="C17" s="170">
        <v>10000.0</v>
      </c>
      <c r="D17" s="170">
        <v>0.0</v>
      </c>
      <c r="E17" s="223">
        <v>0.0125</v>
      </c>
      <c r="F17" s="170">
        <v>72.96223958333334</v>
      </c>
      <c r="G17" s="170">
        <v>83.3789062499994</v>
      </c>
      <c r="H17" s="170">
        <v>10083.37890625</v>
      </c>
    </row>
    <row r="18">
      <c r="A18" s="165">
        <v>43282.0</v>
      </c>
      <c r="B18" s="170">
        <v>10010.416666666666</v>
      </c>
      <c r="C18" s="170">
        <v>10000.0</v>
      </c>
      <c r="D18" s="170">
        <v>0.0</v>
      </c>
      <c r="E18" s="223">
        <v>0.0125</v>
      </c>
      <c r="F18" s="170">
        <v>62.5390625</v>
      </c>
      <c r="G18" s="170">
        <v>72.95572916666606</v>
      </c>
      <c r="H18" s="170">
        <v>10072.955729166666</v>
      </c>
    </row>
    <row r="19">
      <c r="A19" s="165">
        <v>43252.0</v>
      </c>
      <c r="B19" s="170">
        <v>10010.416666666666</v>
      </c>
      <c r="C19" s="170">
        <v>10000.0</v>
      </c>
      <c r="D19" s="170">
        <v>0.0</v>
      </c>
      <c r="E19" s="223">
        <v>0.0125</v>
      </c>
      <c r="F19" s="170">
        <v>52.11588541666668</v>
      </c>
      <c r="G19" s="170">
        <v>62.53255208333274</v>
      </c>
      <c r="H19" s="170">
        <v>10062.532552083332</v>
      </c>
    </row>
    <row r="20">
      <c r="A20" s="165">
        <v>43221.0</v>
      </c>
      <c r="B20" s="170">
        <v>10010.416666666666</v>
      </c>
      <c r="C20" s="170">
        <v>10000.0</v>
      </c>
      <c r="D20" s="170">
        <v>0.0</v>
      </c>
      <c r="E20" s="223">
        <v>0.0125</v>
      </c>
      <c r="F20" s="170">
        <v>41.69270833333334</v>
      </c>
      <c r="G20" s="170">
        <v>52.1093749999994</v>
      </c>
      <c r="H20" s="170">
        <v>10052.109375</v>
      </c>
    </row>
    <row r="21">
      <c r="A21" s="165">
        <v>43191.0</v>
      </c>
      <c r="B21" s="170">
        <v>10010.416666666666</v>
      </c>
      <c r="C21" s="170">
        <v>10000.0</v>
      </c>
      <c r="D21" s="170">
        <v>0.0</v>
      </c>
      <c r="E21" s="223">
        <v>0.0125</v>
      </c>
      <c r="F21" s="170">
        <v>31.26953125</v>
      </c>
      <c r="G21" s="170">
        <v>41.68619791666606</v>
      </c>
      <c r="H21" s="170">
        <v>10041.686197916666</v>
      </c>
    </row>
    <row r="22">
      <c r="A22" s="165">
        <v>43160.0</v>
      </c>
      <c r="B22" s="170">
        <v>10010.416666666666</v>
      </c>
      <c r="C22" s="170">
        <v>10000.0</v>
      </c>
      <c r="D22" s="170">
        <v>0.0</v>
      </c>
      <c r="E22" s="223">
        <v>0.0125</v>
      </c>
      <c r="F22" s="170">
        <v>20.84635416666667</v>
      </c>
      <c r="G22" s="170">
        <v>31.26302083333273</v>
      </c>
      <c r="H22" s="170">
        <v>10031.263020833332</v>
      </c>
    </row>
    <row r="23">
      <c r="A23" s="165">
        <v>43132.0</v>
      </c>
      <c r="B23" s="170">
        <v>10010.416666666666</v>
      </c>
      <c r="C23" s="170">
        <v>10000.0</v>
      </c>
      <c r="D23" s="170">
        <v>0.0</v>
      </c>
      <c r="E23" s="223">
        <v>0.0125</v>
      </c>
      <c r="F23" s="170">
        <v>10.423177083333336</v>
      </c>
      <c r="G23" s="170">
        <v>20.839843749999396</v>
      </c>
      <c r="H23" s="170">
        <v>10020.83984375</v>
      </c>
    </row>
    <row r="24">
      <c r="A24" s="165">
        <v>43101.0</v>
      </c>
      <c r="B24" s="170">
        <v>10010.416666666666</v>
      </c>
      <c r="C24" s="170">
        <v>10000.0</v>
      </c>
      <c r="D24" s="170">
        <v>0.0</v>
      </c>
      <c r="E24" s="223">
        <v>0.0125</v>
      </c>
      <c r="F24" s="170">
        <v>10.416666666666668</v>
      </c>
      <c r="G24" s="170">
        <v>10.42</v>
      </c>
      <c r="H24" s="170">
        <v>10010.416666666666</v>
      </c>
    </row>
    <row r="25">
      <c r="A25" s="165">
        <v>43070.0</v>
      </c>
      <c r="B25" s="170">
        <v>10000.0</v>
      </c>
      <c r="C25" s="170">
        <v>10000.0</v>
      </c>
      <c r="D25" s="170">
        <v>10000.0</v>
      </c>
      <c r="E25" s="223">
        <v>0.0125</v>
      </c>
      <c r="F25" s="170">
        <v>0.0</v>
      </c>
      <c r="G25" s="170">
        <v>0.0</v>
      </c>
      <c r="H25" s="170">
        <v>10000.0</v>
      </c>
    </row>
  </sheetData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8" width="14.43"/>
  </cols>
  <sheetData>
    <row r="1">
      <c r="A1" s="42" t="s">
        <v>2</v>
      </c>
      <c r="B1" s="3" t="s">
        <v>148</v>
      </c>
      <c r="C1" s="3" t="s">
        <v>554</v>
      </c>
      <c r="D1" s="3" t="s">
        <v>555</v>
      </c>
      <c r="E1" s="3" t="s">
        <v>244</v>
      </c>
      <c r="F1" s="3" t="s">
        <v>556</v>
      </c>
      <c r="G1" s="3" t="s">
        <v>557</v>
      </c>
      <c r="H1" s="3" t="s">
        <v>247</v>
      </c>
    </row>
    <row r="2">
      <c r="A2" s="165">
        <v>43770.0</v>
      </c>
      <c r="B2" s="170">
        <v>100.0</v>
      </c>
      <c r="C2" s="170">
        <v>100.0</v>
      </c>
      <c r="D2" s="170">
        <v>0.0</v>
      </c>
      <c r="E2" s="223">
        <v>0.0125</v>
      </c>
      <c r="F2" s="170">
        <v>0.3125</v>
      </c>
      <c r="G2" s="170">
        <v>0.3125</v>
      </c>
      <c r="H2" s="170">
        <v>100.3125</v>
      </c>
    </row>
    <row r="3">
      <c r="A3" s="165">
        <v>43739.0</v>
      </c>
      <c r="B3" s="170">
        <v>100.0</v>
      </c>
      <c r="C3" s="170">
        <v>100.0</v>
      </c>
      <c r="D3" s="170">
        <v>0.0</v>
      </c>
      <c r="E3" s="223">
        <v>0.0125</v>
      </c>
      <c r="F3" s="170">
        <v>0.20833333333333334</v>
      </c>
      <c r="G3" s="170">
        <v>0.2083333333333286</v>
      </c>
      <c r="H3" s="170">
        <v>100.20833333333333</v>
      </c>
    </row>
    <row r="4">
      <c r="A4" s="165">
        <v>43709.0</v>
      </c>
      <c r="B4" s="170">
        <v>100.0</v>
      </c>
      <c r="C4" s="170">
        <v>100.0</v>
      </c>
      <c r="D4" s="170">
        <v>0.0</v>
      </c>
      <c r="E4" s="223">
        <v>0.0125</v>
      </c>
      <c r="F4" s="170">
        <v>0.10416666666666667</v>
      </c>
      <c r="G4" s="170">
        <v>0.1041666666666714</v>
      </c>
      <c r="H4" s="170">
        <v>100.10416666666667</v>
      </c>
    </row>
    <row r="5">
      <c r="A5" s="165">
        <v>43678.0</v>
      </c>
      <c r="B5" s="170">
        <v>100.0</v>
      </c>
      <c r="C5" s="170">
        <v>100.0</v>
      </c>
      <c r="D5" s="170">
        <v>100.0</v>
      </c>
      <c r="E5" s="223">
        <v>0.0125</v>
      </c>
      <c r="F5" s="170">
        <v>0.0</v>
      </c>
      <c r="G5" s="170">
        <v>0.0</v>
      </c>
      <c r="H5" s="170">
        <v>100.0</v>
      </c>
    </row>
  </sheetData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14.43"/>
  </cols>
  <sheetData>
    <row r="1">
      <c r="A1" s="42" t="s">
        <v>2</v>
      </c>
      <c r="B1" s="3" t="s">
        <v>148</v>
      </c>
      <c r="C1" s="3" t="s">
        <v>554</v>
      </c>
      <c r="D1" s="3" t="s">
        <v>555</v>
      </c>
      <c r="E1" s="3" t="s">
        <v>244</v>
      </c>
      <c r="F1" s="3" t="s">
        <v>556</v>
      </c>
      <c r="G1" s="3" t="s">
        <v>557</v>
      </c>
      <c r="H1" s="3" t="s">
        <v>247</v>
      </c>
    </row>
    <row r="2">
      <c r="A2" s="165">
        <v>43647.0</v>
      </c>
      <c r="B2" s="170">
        <v>0.0</v>
      </c>
      <c r="C2" s="170">
        <v>0.0</v>
      </c>
      <c r="D2" s="170">
        <v>0.0</v>
      </c>
      <c r="E2" s="223">
        <v>0.0</v>
      </c>
      <c r="F2" s="170">
        <v>0.0</v>
      </c>
      <c r="G2" s="170">
        <v>0.0</v>
      </c>
      <c r="H2" s="170">
        <v>0.0</v>
      </c>
    </row>
  </sheetData>
  <drawing r:id="rId2"/>
  <legacyDrawing r:id="rId3"/>
</worksheet>
</file>